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ee-my.sharepoint.com/personal/mxf0dnv_fpl_com/Documents/Desktop/DA NEET SITES/NEET Projects/HWT/"/>
    </mc:Choice>
  </mc:AlternateContent>
  <xr:revisionPtr revIDLastSave="0" documentId="8_{F57C9693-F7FE-478E-AE9A-82B9042B9BE3}" xr6:coauthVersionLast="47" xr6:coauthVersionMax="47" xr10:uidLastSave="{00000000-0000-0000-0000-000000000000}"/>
  <bookViews>
    <workbookView xWindow="-120" yWindow="-120" windowWidth="29040" windowHeight="15840" xr2:uid="{97FDBF67-88F6-458B-A2BE-E1BF6070709C}"/>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a- ADIT" sheetId="10" r:id="rId10"/>
    <sheet name="6b- ADIT" sheetId="11" r:id="rId11"/>
    <sheet name="6b-ADIT Projection Proration" sheetId="12" r:id="rId12"/>
    <sheet name="6c- ADIT BOY" sheetId="13" r:id="rId13"/>
    <sheet name="6d- ADIT EOY" sheetId="14" r:id="rId14"/>
    <sheet name="6e-ADIT True-up" sheetId="15" r:id="rId15"/>
    <sheet name="6f-ADIT True-up Proration" sheetId="16" r:id="rId16"/>
    <sheet name="7 - Unfunded Reserves" sheetId="17" r:id="rId17"/>
    <sheet name="8 - CWIP" sheetId="18" r:id="rId18"/>
    <sheet name="9- Depreciation Rates" sheetId="19" r:id="rId19"/>
    <sheet name="10 - Future Use" sheetId="20" r:id="rId20"/>
    <sheet name="11 - Reg. Assets and Abnd Plnt" sheetId="21" r:id="rId21"/>
    <sheet name="12 - Income Tax Adjustment" sheetId="22" r:id="rId22"/>
  </sheets>
  <definedNames>
    <definedName name="_1E_1">#N/A</definedName>
    <definedName name="_31_Dec_00">#REF!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#REF!</definedName>
    <definedName name="DefaultPaste">#REF!</definedName>
    <definedName name="delete" hidden="1">{#N/A,#N/A,FALSE,"CURRENT"}</definedName>
    <definedName name="detail">#REF!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#REF!</definedName>
    <definedName name="kk">#REF!</definedName>
    <definedName name="limcount" hidden="1">1</definedName>
    <definedName name="Mgmt">#REF!</definedName>
    <definedName name="months">#REF!</definedName>
    <definedName name="new">#REF!</definedName>
    <definedName name="NSP_COS">#REF!</definedName>
    <definedName name="_xlnm.Print_Area" localSheetId="1">'1 - Revenue Credits'!$A$1:$H$47</definedName>
    <definedName name="_xlnm.Print_Area" localSheetId="2">'2 - Cost Support '!$A$1:$F$111</definedName>
    <definedName name="_xlnm.Print_Area" localSheetId="6">'4 - Cap Adds'!$A$1:$N$73</definedName>
    <definedName name="_xlnm.Print_Area" localSheetId="12">'6c- ADIT BOY'!$A$1:$H$85</definedName>
    <definedName name="_xlnm.Print_Area" localSheetId="13">'6d- ADIT EOY'!$A$1:$H$85</definedName>
    <definedName name="_xlnm.Print_Area" localSheetId="16">'7 - Unfunded Reserves'!$A$1:$W$39</definedName>
    <definedName name="_xlnm.Print_Area" localSheetId="17">'8 - CWIP'!$A$1:$AA$37</definedName>
    <definedName name="_xlnm.Print_Area" localSheetId="0">'Appendix III'!$A$1:$P$246</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6" hidden="1">'4 - Cap Adds'!$L:$AB</definedName>
    <definedName name="Z_28948E05_8F34_4F1E_96FB_A80A6A844600_.wvu.Cols" localSheetId="9" hidden="1">'6a- ADIT'!#REF!</definedName>
    <definedName name="Z_28948E05_8F34_4F1E_96FB_A80A6A844600_.wvu.Cols" localSheetId="10" hidden="1">'6b- ADIT'!#REF!</definedName>
    <definedName name="Z_28948E05_8F34_4F1E_96FB_A80A6A844600_.wvu.PrintArea" localSheetId="9" hidden="1">'6a- ADIT'!$B$1:$H$128</definedName>
    <definedName name="Z_28948E05_8F34_4F1E_96FB_A80A6A844600_.wvu.PrintArea" localSheetId="10" hidden="1">'6b- ADIT'!$B$1:$H$128</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9" hidden="1">'6a- ADIT'!#REF!</definedName>
    <definedName name="Z_63011E91_4609_4523_98FE_FD252E915668_.wvu.Cols" localSheetId="10" hidden="1">'6b- ADIT'!#REF!</definedName>
    <definedName name="Z_63011E91_4609_4523_98FE_FD252E915668_.wvu.PrintArea" localSheetId="9" hidden="1">'6a- ADIT'!$B$1:$H$128</definedName>
    <definedName name="Z_63011E91_4609_4523_98FE_FD252E915668_.wvu.PrintArea" localSheetId="10" hidden="1">'6b- ADIT'!$B$1:$H$128</definedName>
    <definedName name="Z_6928E596_79BD_4CEC_9F0D_07E62D69B2A5_.wvu.Cols" localSheetId="9" hidden="1">'6a- ADIT'!#REF!</definedName>
    <definedName name="Z_6928E596_79BD_4CEC_9F0D_07E62D69B2A5_.wvu.Cols" localSheetId="10" hidden="1">'6b- ADIT'!#REF!</definedName>
    <definedName name="Z_6928E596_79BD_4CEC_9F0D_07E62D69B2A5_.wvu.PrintArea" localSheetId="9" hidden="1">'6a- ADIT'!$B$1:$H$128</definedName>
    <definedName name="Z_6928E596_79BD_4CEC_9F0D_07E62D69B2A5_.wvu.PrintArea" localSheetId="10" hidden="1">'6b- ADIT'!$B$1:$H$128</definedName>
    <definedName name="Z_71B42B22_A376_44B5_B0C1_23FC1AA3DBA2_.wvu.Cols" localSheetId="6" hidden="1">'4 - Cap Adds'!$L:$AB</definedName>
    <definedName name="Z_71B42B22_A376_44B5_B0C1_23FC1AA3DBA2_.wvu.Cols" localSheetId="9" hidden="1">'6a- ADIT'!#REF!</definedName>
    <definedName name="Z_71B42B22_A376_44B5_B0C1_23FC1AA3DBA2_.wvu.Cols" localSheetId="10" hidden="1">'6b- ADIT'!#REF!</definedName>
    <definedName name="Z_71B42B22_A376_44B5_B0C1_23FC1AA3DBA2_.wvu.PrintArea" localSheetId="9" hidden="1">'6a- ADIT'!$B$1:$H$128</definedName>
    <definedName name="Z_71B42B22_A376_44B5_B0C1_23FC1AA3DBA2_.wvu.PrintArea" localSheetId="10" hidden="1">'6b- ADIT'!$B$1:$H$128</definedName>
    <definedName name="Z_71B42B22_A376_44B5_B0C1_23FC1AA3DBA2_.wvu.PrintTitles" localSheetId="6" hidden="1">'4 - Cap Adds'!$C:$D</definedName>
    <definedName name="Z_8FBB4DC9_2D51_4AB9_80D8_F8474B404C29_.wvu.Cols" localSheetId="9" hidden="1">'6a- ADIT'!#REF!</definedName>
    <definedName name="Z_8FBB4DC9_2D51_4AB9_80D8_F8474B404C29_.wvu.Cols" localSheetId="10" hidden="1">'6b- ADIT'!#REF!</definedName>
    <definedName name="Z_8FBB4DC9_2D51_4AB9_80D8_F8474B404C29_.wvu.PrintArea" localSheetId="9" hidden="1">'6a- ADIT'!$B$1:$H$128</definedName>
    <definedName name="Z_8FBB4DC9_2D51_4AB9_80D8_F8474B404C29_.wvu.PrintArea" localSheetId="10" hidden="1">'6b- ADIT'!$B$1:$H$128</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9" hidden="1">'6a- ADIT'!#REF!</definedName>
    <definedName name="Z_B647CB7F_C846_4278_B6B1_1EF7F3C004F5_.wvu.Cols" localSheetId="10" hidden="1">'6b- ADIT'!#REF!</definedName>
    <definedName name="Z_B647CB7F_C846_4278_B6B1_1EF7F3C004F5_.wvu.PrintArea" localSheetId="9" hidden="1">'6a- ADIT'!$B$1:$H$128</definedName>
    <definedName name="Z_B647CB7F_C846_4278_B6B1_1EF7F3C004F5_.wvu.PrintArea" localSheetId="10" hidden="1">'6b- ADIT'!$B$1:$H$128</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9" hidden="1">'6a- ADIT'!#REF!</definedName>
    <definedName name="Z_DC91DEF3_837B_4BB9_A81E_3B78C5914E6C_.wvu.Cols" localSheetId="10" hidden="1">'6b- ADIT'!#REF!</definedName>
    <definedName name="Z_DC91DEF3_837B_4BB9_A81E_3B78C5914E6C_.wvu.PrintArea" localSheetId="9" hidden="1">'6a- ADIT'!$B$1:$H$128</definedName>
    <definedName name="Z_DC91DEF3_837B_4BB9_A81E_3B78C5914E6C_.wvu.PrintArea" localSheetId="10" hidden="1">'6b- ADIT'!$B$1:$H$128</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9" hidden="1">'6a- ADIT'!#REF!</definedName>
    <definedName name="Z_FAAD9AAC_1337_43AB_BF1F_CCF9DFCF5B78_.wvu.Cols" localSheetId="10" hidden="1">'6b- ADIT'!#REF!</definedName>
    <definedName name="Z_FAAD9AAC_1337_43AB_BF1F_CCF9DFCF5B78_.wvu.PrintArea" localSheetId="9" hidden="1">'6a- ADIT'!$B$1:$H$128</definedName>
    <definedName name="Z_FAAD9AAC_1337_43AB_BF1F_CCF9DFCF5B78_.wvu.PrintArea" localSheetId="10" hidden="1">'6b- ADIT'!$B$1:$H$128</definedName>
    <definedName name="Z_FAAD9AAC_1337_43AB_BF1F_CCF9DFCF5B78_.wvu.PrintTitles" localSheetId="6" hidden="1">'4 - Cap Adds'!$C:$D</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2" l="1"/>
  <c r="AH17" i="21"/>
  <c r="AD17" i="21"/>
  <c r="AJ17" i="21" s="1"/>
  <c r="H17" i="21"/>
  <c r="L17" i="21" s="1"/>
  <c r="P17" i="21" s="1"/>
  <c r="AH16" i="21"/>
  <c r="AD16" i="21"/>
  <c r="AJ16" i="21" s="1"/>
  <c r="H16" i="21"/>
  <c r="L16" i="21" s="1"/>
  <c r="P16" i="21" s="1"/>
  <c r="AH15" i="21"/>
  <c r="AD15" i="21"/>
  <c r="AJ15" i="21" s="1"/>
  <c r="H15" i="21"/>
  <c r="L15" i="21" s="1"/>
  <c r="P15" i="21" s="1"/>
  <c r="AH14" i="21"/>
  <c r="AD14" i="21"/>
  <c r="AJ14" i="21" s="1"/>
  <c r="H14" i="21"/>
  <c r="L14" i="21" s="1"/>
  <c r="P14" i="21" s="1"/>
  <c r="AH13" i="21"/>
  <c r="AD13" i="21"/>
  <c r="AJ13" i="21" s="1"/>
  <c r="H13" i="21"/>
  <c r="L13" i="21" s="1"/>
  <c r="P13" i="21" s="1"/>
  <c r="AH12" i="21"/>
  <c r="AD12" i="21"/>
  <c r="AJ12" i="21" s="1"/>
  <c r="H12" i="21"/>
  <c r="L12" i="21" s="1"/>
  <c r="P12" i="21" s="1"/>
  <c r="AH11" i="21"/>
  <c r="AD11" i="21"/>
  <c r="AJ11" i="21" s="1"/>
  <c r="H11" i="21"/>
  <c r="L11" i="21" s="1"/>
  <c r="P11" i="21" s="1"/>
  <c r="AH10" i="21"/>
  <c r="AD10" i="21"/>
  <c r="AJ10" i="21" s="1"/>
  <c r="H10" i="21"/>
  <c r="L10" i="21" s="1"/>
  <c r="P10" i="21" s="1"/>
  <c r="AH9" i="21"/>
  <c r="AD9" i="21"/>
  <c r="AJ9" i="21" s="1"/>
  <c r="H9" i="21"/>
  <c r="L9" i="21" s="1"/>
  <c r="P9" i="21" s="1"/>
  <c r="AH8" i="21"/>
  <c r="Q18" i="21"/>
  <c r="F8" i="21"/>
  <c r="H8" i="21"/>
  <c r="Q7" i="21"/>
  <c r="E17" i="20"/>
  <c r="E16" i="20"/>
  <c r="E15" i="20"/>
  <c r="E14" i="20"/>
  <c r="E13" i="20"/>
  <c r="E12" i="20"/>
  <c r="E11" i="20"/>
  <c r="E10" i="20"/>
  <c r="E9" i="20"/>
  <c r="E8" i="20"/>
  <c r="E18" i="20" s="1"/>
  <c r="G51" i="4" s="1"/>
  <c r="E89" i="1" s="1"/>
  <c r="F1" i="20"/>
  <c r="A35" i="19"/>
  <c r="A36" i="19" s="1"/>
  <c r="A37" i="19" s="1"/>
  <c r="A38" i="19" s="1"/>
  <c r="A34" i="19"/>
  <c r="A14" i="19"/>
  <c r="A15" i="19" s="1"/>
  <c r="A16" i="19" s="1"/>
  <c r="A17" i="19" s="1"/>
  <c r="A18" i="19" s="1"/>
  <c r="A19" i="19" s="1"/>
  <c r="A22" i="19" s="1"/>
  <c r="A23" i="19" s="1"/>
  <c r="A24" i="19" s="1"/>
  <c r="A13" i="19"/>
  <c r="A12" i="19"/>
  <c r="A11" i="19"/>
  <c r="U32" i="18"/>
  <c r="Y32" i="18" s="1"/>
  <c r="U31" i="18"/>
  <c r="Y31" i="18" s="1"/>
  <c r="U30" i="18"/>
  <c r="Y30" i="18" s="1"/>
  <c r="U29" i="18"/>
  <c r="Y29" i="18" s="1"/>
  <c r="Y28" i="18"/>
  <c r="U28" i="18"/>
  <c r="Y27" i="18"/>
  <c r="U27" i="18"/>
  <c r="U26" i="18"/>
  <c r="Y26" i="18" s="1"/>
  <c r="U25" i="18"/>
  <c r="Y25" i="18" s="1"/>
  <c r="U24" i="18"/>
  <c r="Y24" i="18" s="1"/>
  <c r="U23" i="18"/>
  <c r="Y23" i="18" s="1"/>
  <c r="Y22" i="18"/>
  <c r="U22" i="18"/>
  <c r="Y21" i="18"/>
  <c r="U21" i="18"/>
  <c r="U20" i="18"/>
  <c r="Y20" i="18" s="1"/>
  <c r="U19" i="18"/>
  <c r="Y19" i="18" s="1"/>
  <c r="U18" i="18"/>
  <c r="Y18" i="18" s="1"/>
  <c r="U17" i="18"/>
  <c r="Y17" i="18" s="1"/>
  <c r="Y16" i="18"/>
  <c r="U16" i="18"/>
  <c r="Y15" i="18"/>
  <c r="U15" i="18"/>
  <c r="U14" i="18"/>
  <c r="Y14" i="18" s="1"/>
  <c r="U13" i="18"/>
  <c r="Y13" i="18" s="1"/>
  <c r="U12" i="18"/>
  <c r="Y12" i="18" s="1"/>
  <c r="U11" i="18"/>
  <c r="Y11" i="18" s="1"/>
  <c r="Y10" i="18"/>
  <c r="U10" i="18"/>
  <c r="U9" i="18"/>
  <c r="Y9" i="18" s="1"/>
  <c r="W32" i="17"/>
  <c r="Q32" i="17"/>
  <c r="Q31" i="17"/>
  <c r="W31" i="17" s="1"/>
  <c r="W30" i="17"/>
  <c r="Q30" i="17"/>
  <c r="W29" i="17"/>
  <c r="Q29" i="17"/>
  <c r="W28" i="17"/>
  <c r="Q28" i="17"/>
  <c r="W27" i="17"/>
  <c r="Q27" i="17"/>
  <c r="W26" i="17"/>
  <c r="Q26" i="17"/>
  <c r="Q25" i="17"/>
  <c r="W25" i="17" s="1"/>
  <c r="W24" i="17"/>
  <c r="Q24" i="17"/>
  <c r="W23" i="17"/>
  <c r="Q23" i="17"/>
  <c r="W22" i="17"/>
  <c r="Q22" i="17"/>
  <c r="W21" i="17"/>
  <c r="Q21" i="17"/>
  <c r="W20" i="17"/>
  <c r="Q20" i="17"/>
  <c r="Q19" i="17"/>
  <c r="W19" i="17" s="1"/>
  <c r="W18" i="17"/>
  <c r="Q18" i="17"/>
  <c r="W17" i="17"/>
  <c r="Q17" i="17"/>
  <c r="W16" i="17"/>
  <c r="Q16" i="17"/>
  <c r="W15" i="17"/>
  <c r="Q15" i="17"/>
  <c r="W14" i="17"/>
  <c r="Q14" i="17"/>
  <c r="Q13" i="17"/>
  <c r="W13" i="17" s="1"/>
  <c r="W12" i="17"/>
  <c r="Q12" i="17"/>
  <c r="W11" i="17"/>
  <c r="Q11" i="17"/>
  <c r="W10" i="17"/>
  <c r="W33" i="17" s="1"/>
  <c r="Q10" i="17"/>
  <c r="W9" i="17"/>
  <c r="Q9" i="17"/>
  <c r="Q33" i="17" s="1"/>
  <c r="W8" i="17"/>
  <c r="Q8" i="17"/>
  <c r="D7" i="17"/>
  <c r="AA54" i="16"/>
  <c r="R54" i="16"/>
  <c r="I54" i="16"/>
  <c r="X53" i="16"/>
  <c r="AB53" i="16" s="1"/>
  <c r="AC53" i="16" s="1"/>
  <c r="V53" i="16"/>
  <c r="P53" i="16"/>
  <c r="O53" i="16"/>
  <c r="S53" i="16" s="1"/>
  <c r="T53" i="16" s="1"/>
  <c r="U53" i="16" s="1"/>
  <c r="F53" i="16"/>
  <c r="J53" i="16" s="1"/>
  <c r="K53" i="16" s="1"/>
  <c r="E53" i="16"/>
  <c r="Y53" i="16" s="1"/>
  <c r="AB52" i="16"/>
  <c r="AC52" i="16" s="1"/>
  <c r="Y52" i="16"/>
  <c r="X52" i="16"/>
  <c r="T52" i="16"/>
  <c r="U52" i="16" s="1"/>
  <c r="S52" i="16"/>
  <c r="O52" i="16"/>
  <c r="F52" i="16"/>
  <c r="J52" i="16" s="1"/>
  <c r="K52" i="16" s="1"/>
  <c r="M52" i="16" s="1"/>
  <c r="E52" i="16"/>
  <c r="G52" i="16" s="1"/>
  <c r="AC51" i="16"/>
  <c r="AB51" i="16"/>
  <c r="Y51" i="16"/>
  <c r="X51" i="16"/>
  <c r="O51" i="16"/>
  <c r="J51" i="16"/>
  <c r="K51" i="16" s="1"/>
  <c r="G51" i="16"/>
  <c r="F51" i="16"/>
  <c r="E51" i="16"/>
  <c r="X50" i="16"/>
  <c r="AB50" i="16" s="1"/>
  <c r="AC50" i="16" s="1"/>
  <c r="S50" i="16"/>
  <c r="T50" i="16" s="1"/>
  <c r="O50" i="16"/>
  <c r="M50" i="16"/>
  <c r="L50" i="16"/>
  <c r="K50" i="16"/>
  <c r="J50" i="16"/>
  <c r="F50" i="16"/>
  <c r="E50" i="16"/>
  <c r="X49" i="16"/>
  <c r="AB49" i="16" s="1"/>
  <c r="AC49" i="16" s="1"/>
  <c r="P49" i="16"/>
  <c r="O49" i="16"/>
  <c r="S49" i="16" s="1"/>
  <c r="T49" i="16" s="1"/>
  <c r="U49" i="16" s="1"/>
  <c r="K49" i="16"/>
  <c r="F49" i="16"/>
  <c r="J49" i="16" s="1"/>
  <c r="E49" i="16"/>
  <c r="AB48" i="16"/>
  <c r="AC48" i="16" s="1"/>
  <c r="Y48" i="16"/>
  <c r="X48" i="16"/>
  <c r="T48" i="16"/>
  <c r="U48" i="16" s="1"/>
  <c r="S48" i="16"/>
  <c r="O48" i="16"/>
  <c r="F48" i="16"/>
  <c r="J48" i="16" s="1"/>
  <c r="K48" i="16" s="1"/>
  <c r="M48" i="16" s="1"/>
  <c r="E48" i="16"/>
  <c r="G48" i="16" s="1"/>
  <c r="AE47" i="16"/>
  <c r="AC47" i="16"/>
  <c r="AD47" i="16" s="1"/>
  <c r="AB47" i="16"/>
  <c r="Y47" i="16"/>
  <c r="X47" i="16"/>
  <c r="O47" i="16"/>
  <c r="J47" i="16"/>
  <c r="K47" i="16" s="1"/>
  <c r="G47" i="16"/>
  <c r="F47" i="16"/>
  <c r="E47" i="16"/>
  <c r="D47" i="16"/>
  <c r="X46" i="16"/>
  <c r="AB46" i="16" s="1"/>
  <c r="S46" i="16"/>
  <c r="O46" i="16"/>
  <c r="M46" i="16"/>
  <c r="L46" i="16"/>
  <c r="K46" i="16"/>
  <c r="J46" i="16"/>
  <c r="F46" i="16"/>
  <c r="E46" i="16"/>
  <c r="X45" i="16"/>
  <c r="AB45" i="16" s="1"/>
  <c r="AC45" i="16" s="1"/>
  <c r="V45" i="16"/>
  <c r="P45" i="16"/>
  <c r="O45" i="16"/>
  <c r="S45" i="16" s="1"/>
  <c r="T45" i="16" s="1"/>
  <c r="U45" i="16" s="1"/>
  <c r="F45" i="16"/>
  <c r="J45" i="16" s="1"/>
  <c r="K45" i="16" s="1"/>
  <c r="E45" i="16"/>
  <c r="Y45" i="16" s="1"/>
  <c r="AB44" i="16"/>
  <c r="AC44" i="16" s="1"/>
  <c r="Y44" i="16"/>
  <c r="X44" i="16"/>
  <c r="S44" i="16"/>
  <c r="T44" i="16" s="1"/>
  <c r="O44" i="16"/>
  <c r="L44" i="16"/>
  <c r="F44" i="16"/>
  <c r="J44" i="16" s="1"/>
  <c r="K44" i="16" s="1"/>
  <c r="M44" i="16" s="1"/>
  <c r="E44" i="16"/>
  <c r="G44" i="16" s="1"/>
  <c r="AE43" i="16"/>
  <c r="AC43" i="16"/>
  <c r="AD43" i="16" s="1"/>
  <c r="AB43" i="16"/>
  <c r="Y43" i="16"/>
  <c r="X43" i="16"/>
  <c r="O43" i="16"/>
  <c r="J43" i="16"/>
  <c r="K43" i="16" s="1"/>
  <c r="G43" i="16"/>
  <c r="F43" i="16"/>
  <c r="E43" i="16"/>
  <c r="X42" i="16"/>
  <c r="AB42" i="16" s="1"/>
  <c r="S42" i="16"/>
  <c r="O42" i="16"/>
  <c r="M42" i="16"/>
  <c r="L42" i="16"/>
  <c r="K42" i="16"/>
  <c r="J42" i="16"/>
  <c r="G42" i="16"/>
  <c r="F42" i="16"/>
  <c r="F54" i="16" s="1"/>
  <c r="E42" i="16"/>
  <c r="D42" i="16"/>
  <c r="Z41" i="16"/>
  <c r="Q41" i="16"/>
  <c r="H41" i="16"/>
  <c r="E41" i="16"/>
  <c r="D41" i="16"/>
  <c r="AA38" i="16"/>
  <c r="R38" i="16"/>
  <c r="I38" i="16"/>
  <c r="AC37" i="16"/>
  <c r="X37" i="16"/>
  <c r="AB37" i="16" s="1"/>
  <c r="T37" i="16"/>
  <c r="V37" i="16" s="1"/>
  <c r="O37" i="16"/>
  <c r="S37" i="16" s="1"/>
  <c r="E37" i="16"/>
  <c r="P37" i="16" s="1"/>
  <c r="AD36" i="16"/>
  <c r="X36" i="16"/>
  <c r="AB36" i="16" s="1"/>
  <c r="AC36" i="16" s="1"/>
  <c r="AE36" i="16" s="1"/>
  <c r="S36" i="16"/>
  <c r="O36" i="16"/>
  <c r="E36" i="16"/>
  <c r="AB35" i="16"/>
  <c r="AC35" i="16" s="1"/>
  <c r="Y35" i="16"/>
  <c r="X35" i="16"/>
  <c r="V35" i="16"/>
  <c r="T35" i="16"/>
  <c r="U35" i="16" s="1"/>
  <c r="S35" i="16"/>
  <c r="O35" i="16"/>
  <c r="E35" i="16"/>
  <c r="AE34" i="16"/>
  <c r="AD34" i="16"/>
  <c r="AC34" i="16"/>
  <c r="AB34" i="16"/>
  <c r="Y34" i="16"/>
  <c r="X34" i="16"/>
  <c r="P34" i="16"/>
  <c r="O34" i="16"/>
  <c r="S34" i="16" s="1"/>
  <c r="T34" i="16" s="1"/>
  <c r="E34" i="16"/>
  <c r="D34" i="16"/>
  <c r="AC33" i="16"/>
  <c r="X33" i="16"/>
  <c r="AB33" i="16" s="1"/>
  <c r="U33" i="16"/>
  <c r="T33" i="16"/>
  <c r="V33" i="16" s="1"/>
  <c r="O33" i="16"/>
  <c r="S33" i="16" s="1"/>
  <c r="E33" i="16"/>
  <c r="P33" i="16" s="1"/>
  <c r="X32" i="16"/>
  <c r="AB32" i="16" s="1"/>
  <c r="AC32" i="16" s="1"/>
  <c r="AE32" i="16" s="1"/>
  <c r="S32" i="16"/>
  <c r="P32" i="16"/>
  <c r="O32" i="16"/>
  <c r="E32" i="16"/>
  <c r="AB31" i="16"/>
  <c r="AC31" i="16" s="1"/>
  <c r="Y31" i="16"/>
  <c r="X31" i="16"/>
  <c r="V31" i="16"/>
  <c r="T31" i="16"/>
  <c r="U31" i="16" s="1"/>
  <c r="S31" i="16"/>
  <c r="O31" i="16"/>
  <c r="E31" i="16"/>
  <c r="AE30" i="16"/>
  <c r="AD30" i="16"/>
  <c r="AB30" i="16"/>
  <c r="AC30" i="16" s="1"/>
  <c r="Y30" i="16"/>
  <c r="X30" i="16"/>
  <c r="P30" i="16"/>
  <c r="O30" i="16"/>
  <c r="S30" i="16" s="1"/>
  <c r="T30" i="16" s="1"/>
  <c r="E30" i="16"/>
  <c r="D30" i="16"/>
  <c r="AC29" i="16"/>
  <c r="X29" i="16"/>
  <c r="AB29" i="16" s="1"/>
  <c r="U29" i="16"/>
  <c r="T29" i="16"/>
  <c r="V29" i="16" s="1"/>
  <c r="O29" i="16"/>
  <c r="S29" i="16" s="1"/>
  <c r="E29" i="16"/>
  <c r="P29" i="16" s="1"/>
  <c r="AD28" i="16"/>
  <c r="X28" i="16"/>
  <c r="AB28" i="16" s="1"/>
  <c r="AC28" i="16" s="1"/>
  <c r="AE28" i="16" s="1"/>
  <c r="S28" i="16"/>
  <c r="O28" i="16"/>
  <c r="E28" i="16"/>
  <c r="AB27" i="16"/>
  <c r="AC27" i="16" s="1"/>
  <c r="Y27" i="16"/>
  <c r="X27" i="16"/>
  <c r="T27" i="16"/>
  <c r="U27" i="16" s="1"/>
  <c r="S27" i="16"/>
  <c r="O27" i="16"/>
  <c r="E27" i="16"/>
  <c r="AC26" i="16"/>
  <c r="AB26" i="16"/>
  <c r="Y26" i="16"/>
  <c r="X26" i="16"/>
  <c r="P26" i="16"/>
  <c r="O26" i="16"/>
  <c r="S26" i="16" s="1"/>
  <c r="E26" i="16"/>
  <c r="D26" i="16"/>
  <c r="Z25" i="16"/>
  <c r="Q25" i="16"/>
  <c r="H25" i="16"/>
  <c r="E25" i="16"/>
  <c r="D25" i="16"/>
  <c r="AA22" i="16"/>
  <c r="R22" i="16"/>
  <c r="I22" i="16"/>
  <c r="AE21" i="16"/>
  <c r="AD21" i="16"/>
  <c r="Y21" i="16"/>
  <c r="X21" i="16"/>
  <c r="AB21" i="16" s="1"/>
  <c r="AC21" i="16" s="1"/>
  <c r="P21" i="16"/>
  <c r="O21" i="16"/>
  <c r="S21" i="16" s="1"/>
  <c r="T21" i="16" s="1"/>
  <c r="E21" i="16"/>
  <c r="D21" i="16"/>
  <c r="AB20" i="16"/>
  <c r="AC20" i="16" s="1"/>
  <c r="Y20" i="16"/>
  <c r="X20" i="16"/>
  <c r="O20" i="16"/>
  <c r="S20" i="16" s="1"/>
  <c r="T20" i="16" s="1"/>
  <c r="E20" i="16"/>
  <c r="D20" i="16"/>
  <c r="D52" i="16" s="1"/>
  <c r="AC19" i="16"/>
  <c r="X19" i="16"/>
  <c r="AB19" i="16" s="1"/>
  <c r="V19" i="16"/>
  <c r="S19" i="16"/>
  <c r="T19" i="16" s="1"/>
  <c r="U19" i="16" s="1"/>
  <c r="P19" i="16"/>
  <c r="O19" i="16"/>
  <c r="E19" i="16"/>
  <c r="D19" i="16"/>
  <c r="AD18" i="16"/>
  <c r="AB18" i="16"/>
  <c r="AC18" i="16" s="1"/>
  <c r="AE18" i="16" s="1"/>
  <c r="X18" i="16"/>
  <c r="T18" i="16"/>
  <c r="S18" i="16"/>
  <c r="P18" i="16"/>
  <c r="O18" i="16"/>
  <c r="E18" i="16"/>
  <c r="Y18" i="16" s="1"/>
  <c r="D18" i="16"/>
  <c r="D50" i="16" s="1"/>
  <c r="AD17" i="16"/>
  <c r="Y17" i="16"/>
  <c r="X17" i="16"/>
  <c r="AB17" i="16" s="1"/>
  <c r="AC17" i="16" s="1"/>
  <c r="AE17" i="16" s="1"/>
  <c r="V17" i="16"/>
  <c r="T17" i="16"/>
  <c r="U17" i="16" s="1"/>
  <c r="P17" i="16"/>
  <c r="O17" i="16"/>
  <c r="S17" i="16" s="1"/>
  <c r="E17" i="16"/>
  <c r="D17" i="16"/>
  <c r="AC16" i="16"/>
  <c r="AB16" i="16"/>
  <c r="Y16" i="16"/>
  <c r="X16" i="16"/>
  <c r="S16" i="16"/>
  <c r="T16" i="16" s="1"/>
  <c r="O16" i="16"/>
  <c r="E16" i="16"/>
  <c r="D16" i="16"/>
  <c r="D48" i="16" s="1"/>
  <c r="AE15" i="16"/>
  <c r="AD15" i="16"/>
  <c r="AC15" i="16"/>
  <c r="X15" i="16"/>
  <c r="AB15" i="16" s="1"/>
  <c r="O15" i="16"/>
  <c r="S15" i="16" s="1"/>
  <c r="T15" i="16" s="1"/>
  <c r="E15" i="16"/>
  <c r="D15" i="16"/>
  <c r="D31" i="16" s="1"/>
  <c r="AB14" i="16"/>
  <c r="AC14" i="16" s="1"/>
  <c r="Y14" i="16"/>
  <c r="X14" i="16"/>
  <c r="S14" i="16"/>
  <c r="O14" i="16"/>
  <c r="E14" i="16"/>
  <c r="D14" i="16"/>
  <c r="D46" i="16" s="1"/>
  <c r="AE13" i="16"/>
  <c r="AC13" i="16"/>
  <c r="AD13" i="16" s="1"/>
  <c r="Y13" i="16"/>
  <c r="X13" i="16"/>
  <c r="AB13" i="16" s="1"/>
  <c r="O13" i="16"/>
  <c r="S13" i="16" s="1"/>
  <c r="T13" i="16" s="1"/>
  <c r="E13" i="16"/>
  <c r="D13" i="16"/>
  <c r="AB12" i="16"/>
  <c r="AC12" i="16" s="1"/>
  <c r="Y12" i="16"/>
  <c r="X12" i="16"/>
  <c r="P12" i="16"/>
  <c r="O12" i="16"/>
  <c r="S12" i="16" s="1"/>
  <c r="T12" i="16" s="1"/>
  <c r="E12" i="16"/>
  <c r="D12" i="16"/>
  <c r="D44" i="16" s="1"/>
  <c r="X11" i="16"/>
  <c r="S11" i="16"/>
  <c r="O11" i="16"/>
  <c r="E11" i="16"/>
  <c r="D11" i="16"/>
  <c r="A11" i="16"/>
  <c r="A12" i="16" s="1"/>
  <c r="A13" i="16" s="1"/>
  <c r="A14" i="16" s="1"/>
  <c r="A15" i="16" s="1"/>
  <c r="A16" i="16" s="1"/>
  <c r="A17" i="16" s="1"/>
  <c r="A18" i="16" s="1"/>
  <c r="A19" i="16" s="1"/>
  <c r="A20" i="16" s="1"/>
  <c r="A21" i="16" s="1"/>
  <c r="A22" i="16" s="1"/>
  <c r="A25" i="16" s="1"/>
  <c r="A26" i="16" s="1"/>
  <c r="A27" i="16" s="1"/>
  <c r="A28" i="16" s="1"/>
  <c r="A29" i="16" s="1"/>
  <c r="A30" i="16" s="1"/>
  <c r="A31" i="16" s="1"/>
  <c r="A32" i="16" s="1"/>
  <c r="A33" i="16" s="1"/>
  <c r="A34" i="16" s="1"/>
  <c r="A35" i="16" s="1"/>
  <c r="A36" i="16" s="1"/>
  <c r="A37" i="16" s="1"/>
  <c r="A38" i="16" s="1"/>
  <c r="A41" i="16" s="1"/>
  <c r="A42" i="16" s="1"/>
  <c r="A43" i="16" s="1"/>
  <c r="A44" i="16" s="1"/>
  <c r="A45" i="16" s="1"/>
  <c r="A46" i="16" s="1"/>
  <c r="A47" i="16" s="1"/>
  <c r="A48" i="16" s="1"/>
  <c r="A49" i="16" s="1"/>
  <c r="A50" i="16" s="1"/>
  <c r="A51" i="16" s="1"/>
  <c r="A52" i="16" s="1"/>
  <c r="A53" i="16" s="1"/>
  <c r="A54" i="16" s="1"/>
  <c r="AB10" i="16"/>
  <c r="X10" i="16"/>
  <c r="T10" i="16"/>
  <c r="S10" i="16"/>
  <c r="O10" i="16"/>
  <c r="E10" i="16"/>
  <c r="A10" i="16"/>
  <c r="E9" i="16"/>
  <c r="A2" i="16"/>
  <c r="E36" i="15"/>
  <c r="D36" i="15"/>
  <c r="H35" i="15"/>
  <c r="D35" i="15"/>
  <c r="D34" i="15"/>
  <c r="D30" i="15"/>
  <c r="D29" i="15"/>
  <c r="D28" i="15"/>
  <c r="E23" i="15"/>
  <c r="A10" i="15"/>
  <c r="A11" i="15" s="1"/>
  <c r="A12" i="15" s="1"/>
  <c r="A13" i="15" s="1"/>
  <c r="A14" i="15" s="1"/>
  <c r="A15" i="15" s="1"/>
  <c r="A16" i="15" s="1"/>
  <c r="A22" i="15" s="1"/>
  <c r="A23" i="15" s="1"/>
  <c r="A24" i="15" s="1"/>
  <c r="A25" i="15" s="1"/>
  <c r="A28" i="15" s="1"/>
  <c r="A29" i="15" s="1"/>
  <c r="A30" i="15" s="1"/>
  <c r="A31" i="15" s="1"/>
  <c r="A34" i="15" s="1"/>
  <c r="A35" i="15" s="1"/>
  <c r="A36" i="15" s="1"/>
  <c r="A37" i="15" s="1"/>
  <c r="A2" i="15"/>
  <c r="G75" i="14"/>
  <c r="G78" i="14" s="1"/>
  <c r="F75" i="14"/>
  <c r="F78" i="14" s="1"/>
  <c r="D75" i="14"/>
  <c r="D78" i="14" s="1"/>
  <c r="H65" i="14"/>
  <c r="G65" i="14"/>
  <c r="F65" i="14"/>
  <c r="E75" i="14"/>
  <c r="E78" i="14" s="1"/>
  <c r="D65" i="14"/>
  <c r="C65" i="14"/>
  <c r="C75" i="14" s="1"/>
  <c r="C78" i="14" s="1"/>
  <c r="B65" i="14"/>
  <c r="D51" i="14"/>
  <c r="D54" i="14" s="1"/>
  <c r="C51" i="14"/>
  <c r="C54" i="14" s="1"/>
  <c r="E51" i="14"/>
  <c r="E54" i="14" s="1"/>
  <c r="G43" i="14"/>
  <c r="G51" i="14" s="1"/>
  <c r="G54" i="14" s="1"/>
  <c r="F43" i="14"/>
  <c r="F51" i="14" s="1"/>
  <c r="F54" i="14" s="1"/>
  <c r="G23" i="15" s="1"/>
  <c r="D43" i="14"/>
  <c r="G32" i="14"/>
  <c r="G11" i="14" s="1"/>
  <c r="F32" i="14"/>
  <c r="G29" i="14"/>
  <c r="F29" i="14"/>
  <c r="E29" i="14"/>
  <c r="E32" i="14" s="1"/>
  <c r="E11" i="14" s="1"/>
  <c r="D29" i="14"/>
  <c r="D32" i="14" s="1"/>
  <c r="C29" i="14"/>
  <c r="C32" i="14" s="1"/>
  <c r="E35" i="15" s="1"/>
  <c r="E37" i="15" s="1"/>
  <c r="A20" i="14"/>
  <c r="A21" i="14" s="1"/>
  <c r="A22" i="14" s="1"/>
  <c r="A23" i="14" s="1"/>
  <c r="A24" i="14" s="1"/>
  <c r="A25" i="14" s="1"/>
  <c r="A26" i="14" s="1"/>
  <c r="A27" i="14" s="1"/>
  <c r="A28" i="14" s="1"/>
  <c r="A29" i="14" s="1"/>
  <c r="A30" i="14" s="1"/>
  <c r="A31" i="14" s="1"/>
  <c r="A32" i="14" s="1"/>
  <c r="A43" i="14" s="1"/>
  <c r="A44" i="14" s="1"/>
  <c r="A45" i="14" s="1"/>
  <c r="A46" i="14" s="1"/>
  <c r="A47" i="14" s="1"/>
  <c r="A48" i="14" s="1"/>
  <c r="A49" i="14" s="1"/>
  <c r="A50" i="14" s="1"/>
  <c r="A51" i="14" s="1"/>
  <c r="A52" i="14" s="1"/>
  <c r="A53" i="14" s="1"/>
  <c r="A54" i="14" s="1"/>
  <c r="A65" i="14" s="1"/>
  <c r="A66" i="14" s="1"/>
  <c r="A67" i="14" s="1"/>
  <c r="A68" i="14" s="1"/>
  <c r="A69" i="14" s="1"/>
  <c r="A70" i="14" s="1"/>
  <c r="A71" i="14" s="1"/>
  <c r="A72" i="14" s="1"/>
  <c r="A73" i="14" s="1"/>
  <c r="A74" i="14" s="1"/>
  <c r="A75" i="14" s="1"/>
  <c r="A76" i="14" s="1"/>
  <c r="A77" i="14" s="1"/>
  <c r="A78" i="14" s="1"/>
  <c r="A19" i="14"/>
  <c r="F11" i="14"/>
  <c r="A11" i="14"/>
  <c r="A12" i="14" s="1"/>
  <c r="A10" i="14"/>
  <c r="D78" i="13"/>
  <c r="G75" i="13"/>
  <c r="G78" i="13" s="1"/>
  <c r="E75" i="13"/>
  <c r="E78" i="13" s="1"/>
  <c r="C75" i="13"/>
  <c r="C78" i="13" s="1"/>
  <c r="H65" i="13"/>
  <c r="G65" i="13"/>
  <c r="F65" i="13"/>
  <c r="F75" i="13" s="1"/>
  <c r="F78" i="13" s="1"/>
  <c r="G28" i="15" s="1"/>
  <c r="D65" i="13"/>
  <c r="D75" i="13" s="1"/>
  <c r="C65" i="13"/>
  <c r="B65" i="13"/>
  <c r="F54" i="13"/>
  <c r="G22" i="15" s="1"/>
  <c r="G51" i="13"/>
  <c r="G54" i="13" s="1"/>
  <c r="E51" i="13"/>
  <c r="E54" i="13" s="1"/>
  <c r="H43" i="13"/>
  <c r="G43" i="13"/>
  <c r="F43" i="13"/>
  <c r="F51" i="13" s="1"/>
  <c r="C43" i="13"/>
  <c r="C51" i="13" s="1"/>
  <c r="C54" i="13" s="1"/>
  <c r="D43" i="13"/>
  <c r="D51" i="13" s="1"/>
  <c r="D54" i="13" s="1"/>
  <c r="B43" i="13"/>
  <c r="D32" i="13"/>
  <c r="G29" i="13"/>
  <c r="G32" i="13" s="1"/>
  <c r="G11" i="13" s="1"/>
  <c r="F29" i="13"/>
  <c r="F32" i="13" s="1"/>
  <c r="E29" i="13"/>
  <c r="E32" i="13" s="1"/>
  <c r="F34" i="15" s="1"/>
  <c r="D29" i="13"/>
  <c r="C29" i="13"/>
  <c r="C32" i="13" s="1"/>
  <c r="E11" i="13"/>
  <c r="A11" i="13"/>
  <c r="A12" i="13" s="1"/>
  <c r="A19" i="13" s="1"/>
  <c r="A20" i="13" s="1"/>
  <c r="A21" i="13" s="1"/>
  <c r="A22" i="13" s="1"/>
  <c r="A23" i="13" s="1"/>
  <c r="A24" i="13" s="1"/>
  <c r="A25" i="13" s="1"/>
  <c r="A26" i="13" s="1"/>
  <c r="A27" i="13" s="1"/>
  <c r="A28" i="13" s="1"/>
  <c r="A29" i="13" s="1"/>
  <c r="A30" i="13" s="1"/>
  <c r="A31" i="13" s="1"/>
  <c r="A32" i="13" s="1"/>
  <c r="A43" i="13" s="1"/>
  <c r="A44" i="13" s="1"/>
  <c r="A45" i="13" s="1"/>
  <c r="A46" i="13" s="1"/>
  <c r="A47" i="13" s="1"/>
  <c r="A48" i="13" s="1"/>
  <c r="A49" i="13" s="1"/>
  <c r="A50" i="13" s="1"/>
  <c r="A51" i="13" s="1"/>
  <c r="A52" i="13" s="1"/>
  <c r="A53" i="13" s="1"/>
  <c r="A54" i="13" s="1"/>
  <c r="A65" i="13" s="1"/>
  <c r="A66" i="13" s="1"/>
  <c r="A67" i="13" s="1"/>
  <c r="A68" i="13" s="1"/>
  <c r="A69" i="13" s="1"/>
  <c r="A70" i="13" s="1"/>
  <c r="A71" i="13" s="1"/>
  <c r="A72" i="13" s="1"/>
  <c r="A73" i="13" s="1"/>
  <c r="A74" i="13" s="1"/>
  <c r="A75" i="13" s="1"/>
  <c r="A76" i="13" s="1"/>
  <c r="A77" i="13" s="1"/>
  <c r="A78" i="13" s="1"/>
  <c r="E10" i="13"/>
  <c r="A10" i="13"/>
  <c r="G54" i="12"/>
  <c r="J53" i="12"/>
  <c r="E53" i="12"/>
  <c r="L52" i="12"/>
  <c r="J52" i="12"/>
  <c r="H52" i="12"/>
  <c r="E52" i="12"/>
  <c r="E51" i="12"/>
  <c r="L50" i="12"/>
  <c r="E50" i="12"/>
  <c r="H50" i="12" s="1"/>
  <c r="E49" i="12"/>
  <c r="L48" i="12"/>
  <c r="H48" i="12"/>
  <c r="E48" i="12"/>
  <c r="J48" i="12" s="1"/>
  <c r="J47" i="12"/>
  <c r="E47" i="12"/>
  <c r="L46" i="12"/>
  <c r="J46" i="12"/>
  <c r="H46" i="12"/>
  <c r="E46" i="12"/>
  <c r="E45" i="12"/>
  <c r="L44" i="12"/>
  <c r="E44" i="12"/>
  <c r="H44" i="12" s="1"/>
  <c r="E43" i="12"/>
  <c r="L42" i="12"/>
  <c r="E42" i="12"/>
  <c r="D42" i="12"/>
  <c r="K41" i="12"/>
  <c r="K54" i="12" s="1"/>
  <c r="G41" i="12"/>
  <c r="E41" i="12"/>
  <c r="D41" i="12"/>
  <c r="L37" i="12"/>
  <c r="J37" i="12"/>
  <c r="E37" i="12"/>
  <c r="L36" i="12"/>
  <c r="G36" i="12"/>
  <c r="E36" i="12"/>
  <c r="J36" i="12" s="1"/>
  <c r="L35" i="12"/>
  <c r="J35" i="12"/>
  <c r="E35" i="12"/>
  <c r="E34" i="12"/>
  <c r="L33" i="12"/>
  <c r="J33" i="12"/>
  <c r="E33" i="12"/>
  <c r="E32" i="12"/>
  <c r="L31" i="12"/>
  <c r="J31" i="12"/>
  <c r="E31" i="12"/>
  <c r="L30" i="12"/>
  <c r="J30" i="12"/>
  <c r="E30" i="12"/>
  <c r="E29" i="12"/>
  <c r="E28" i="12"/>
  <c r="J28" i="12" s="1"/>
  <c r="E27" i="12"/>
  <c r="D27" i="12"/>
  <c r="D43" i="12" s="1"/>
  <c r="E26" i="12"/>
  <c r="D26" i="12"/>
  <c r="I25" i="12"/>
  <c r="E25" i="12"/>
  <c r="D25" i="12"/>
  <c r="J21" i="12"/>
  <c r="E21" i="12"/>
  <c r="L20" i="12"/>
  <c r="J20" i="12"/>
  <c r="E20" i="12"/>
  <c r="J19" i="12"/>
  <c r="E19" i="12"/>
  <c r="L19" i="12" s="1"/>
  <c r="E18" i="12"/>
  <c r="J17" i="12"/>
  <c r="E17" i="12"/>
  <c r="L17" i="12" s="1"/>
  <c r="A17" i="12"/>
  <c r="A18" i="12" s="1"/>
  <c r="A19" i="12" s="1"/>
  <c r="A20" i="12" s="1"/>
  <c r="A21" i="12" s="1"/>
  <c r="A22" i="12" s="1"/>
  <c r="A25" i="12" s="1"/>
  <c r="A26" i="12" s="1"/>
  <c r="A27" i="12" s="1"/>
  <c r="A28" i="12" s="1"/>
  <c r="A29" i="12" s="1"/>
  <c r="A30" i="12" s="1"/>
  <c r="A31" i="12" s="1"/>
  <c r="A32" i="12" s="1"/>
  <c r="A33" i="12" s="1"/>
  <c r="A34" i="12" s="1"/>
  <c r="A35" i="12" s="1"/>
  <c r="A36" i="12" s="1"/>
  <c r="A37" i="12" s="1"/>
  <c r="A38" i="12" s="1"/>
  <c r="A41" i="12" s="1"/>
  <c r="A42" i="12" s="1"/>
  <c r="A43" i="12" s="1"/>
  <c r="A44" i="12" s="1"/>
  <c r="A45" i="12" s="1"/>
  <c r="A46" i="12" s="1"/>
  <c r="A47" i="12" s="1"/>
  <c r="A48" i="12" s="1"/>
  <c r="A49" i="12" s="1"/>
  <c r="A50" i="12" s="1"/>
  <c r="A51" i="12" s="1"/>
  <c r="A52" i="12" s="1"/>
  <c r="A53" i="12" s="1"/>
  <c r="A54" i="12" s="1"/>
  <c r="E16" i="12"/>
  <c r="E15" i="12"/>
  <c r="J15" i="12" s="1"/>
  <c r="L14" i="12"/>
  <c r="E14" i="12"/>
  <c r="J14" i="12" s="1"/>
  <c r="A14" i="12"/>
  <c r="A15" i="12" s="1"/>
  <c r="A16" i="12" s="1"/>
  <c r="J13" i="12"/>
  <c r="E13" i="12"/>
  <c r="L13" i="12" s="1"/>
  <c r="J12" i="12"/>
  <c r="E12" i="12"/>
  <c r="D12" i="12"/>
  <c r="L11" i="12"/>
  <c r="J11" i="12"/>
  <c r="E11" i="12"/>
  <c r="D11" i="12"/>
  <c r="A11" i="12"/>
  <c r="A12" i="12" s="1"/>
  <c r="A13" i="12" s="1"/>
  <c r="G12" i="12"/>
  <c r="E10" i="12"/>
  <c r="A10" i="12"/>
  <c r="E9" i="12"/>
  <c r="G100" i="11"/>
  <c r="F11" i="11" s="1"/>
  <c r="E100" i="11"/>
  <c r="D11" i="11" s="1"/>
  <c r="D100" i="11"/>
  <c r="G97" i="11"/>
  <c r="F97" i="11"/>
  <c r="F100" i="11" s="1"/>
  <c r="E11" i="11" s="1"/>
  <c r="E97" i="11"/>
  <c r="D97" i="11"/>
  <c r="C87" i="11"/>
  <c r="C97" i="11" s="1"/>
  <c r="C100" i="11" s="1"/>
  <c r="G70" i="11"/>
  <c r="F10" i="11" s="1"/>
  <c r="F13" i="11" s="1"/>
  <c r="F17" i="11" s="1"/>
  <c r="F18" i="10" s="1"/>
  <c r="F70" i="11"/>
  <c r="E10" i="11" s="1"/>
  <c r="G67" i="11"/>
  <c r="F67" i="11"/>
  <c r="D67" i="11"/>
  <c r="D70" i="11" s="1"/>
  <c r="F41" i="11"/>
  <c r="E12" i="11" s="1"/>
  <c r="G38" i="11"/>
  <c r="G41" i="11" s="1"/>
  <c r="F12" i="11" s="1"/>
  <c r="F38" i="11"/>
  <c r="E38" i="11"/>
  <c r="E41" i="11" s="1"/>
  <c r="D38" i="11"/>
  <c r="D41" i="11" s="1"/>
  <c r="C38" i="11"/>
  <c r="C41" i="11" s="1"/>
  <c r="F14" i="11"/>
  <c r="A14" i="11"/>
  <c r="A15" i="11" s="1"/>
  <c r="A17" i="11" s="1"/>
  <c r="D12" i="11"/>
  <c r="A11" i="11"/>
  <c r="A12" i="11" s="1"/>
  <c r="A13" i="11" s="1"/>
  <c r="G100" i="10"/>
  <c r="F100" i="10"/>
  <c r="E11" i="10" s="1"/>
  <c r="E100" i="10"/>
  <c r="D11" i="10" s="1"/>
  <c r="D100" i="10"/>
  <c r="G97" i="10"/>
  <c r="F97" i="10"/>
  <c r="E97" i="10"/>
  <c r="D97" i="10"/>
  <c r="C97" i="10"/>
  <c r="C100" i="10" s="1"/>
  <c r="C87" i="10"/>
  <c r="G67" i="10"/>
  <c r="G70" i="10" s="1"/>
  <c r="F67" i="10"/>
  <c r="F70" i="10" s="1"/>
  <c r="D67" i="10"/>
  <c r="D70" i="10" s="1"/>
  <c r="A43" i="10"/>
  <c r="A44" i="10" s="1"/>
  <c r="A45" i="10" s="1"/>
  <c r="A46" i="10" s="1"/>
  <c r="A47" i="10" s="1"/>
  <c r="A48" i="10" s="1"/>
  <c r="A49"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F41" i="10"/>
  <c r="D41" i="10"/>
  <c r="C41" i="10"/>
  <c r="G38" i="10"/>
  <c r="G41" i="10" s="1"/>
  <c r="F12" i="10" s="1"/>
  <c r="F38" i="10"/>
  <c r="E38" i="10"/>
  <c r="E41" i="10" s="1"/>
  <c r="D12" i="10" s="1"/>
  <c r="D38" i="10"/>
  <c r="C38" i="10"/>
  <c r="A34" i="10"/>
  <c r="A35" i="10" s="1"/>
  <c r="A36" i="10" s="1"/>
  <c r="A37" i="10" s="1"/>
  <c r="A38" i="10" s="1"/>
  <c r="A39" i="10" s="1"/>
  <c r="A40" i="10" s="1"/>
  <c r="A41" i="10" s="1"/>
  <c r="A42" i="10" s="1"/>
  <c r="A18" i="10"/>
  <c r="A19" i="10" s="1"/>
  <c r="A20" i="10" s="1"/>
  <c r="A21" i="10" s="1"/>
  <c r="A22" i="10" s="1"/>
  <c r="A23" i="10" s="1"/>
  <c r="A24" i="10" s="1"/>
  <c r="A25" i="10" s="1"/>
  <c r="A26" i="10" s="1"/>
  <c r="A27" i="10" s="1"/>
  <c r="A28" i="10" s="1"/>
  <c r="A29" i="10" s="1"/>
  <c r="A30" i="10" s="1"/>
  <c r="A31" i="10" s="1"/>
  <c r="A32" i="10" s="1"/>
  <c r="A33" i="10" s="1"/>
  <c r="F14" i="10"/>
  <c r="E12" i="10"/>
  <c r="E13" i="10" s="1"/>
  <c r="F11" i="10"/>
  <c r="A11" i="10"/>
  <c r="A12" i="10" s="1"/>
  <c r="A13" i="10" s="1"/>
  <c r="A14" i="10" s="1"/>
  <c r="A15" i="10" s="1"/>
  <c r="A17" i="10" s="1"/>
  <c r="F10" i="10"/>
  <c r="E10" i="10"/>
  <c r="D36" i="9"/>
  <c r="H35" i="9"/>
  <c r="F35" i="9"/>
  <c r="E35" i="9"/>
  <c r="H34" i="9"/>
  <c r="F34" i="9"/>
  <c r="E34" i="9"/>
  <c r="D34" i="9"/>
  <c r="H29" i="9"/>
  <c r="G29" i="9"/>
  <c r="F29" i="9"/>
  <c r="F31" i="9" s="1"/>
  <c r="E10" i="9" s="1"/>
  <c r="D29" i="9"/>
  <c r="D35" i="9" s="1"/>
  <c r="H28" i="9"/>
  <c r="F28" i="9"/>
  <c r="E28" i="9"/>
  <c r="D28" i="9"/>
  <c r="D24" i="9"/>
  <c r="D30" i="9" s="1"/>
  <c r="H23" i="9"/>
  <c r="G23" i="9"/>
  <c r="F23" i="9"/>
  <c r="E23" i="9"/>
  <c r="H22" i="9"/>
  <c r="F22" i="9"/>
  <c r="F14" i="9"/>
  <c r="G11" i="9"/>
  <c r="F11" i="9"/>
  <c r="E11" i="9"/>
  <c r="A11" i="9"/>
  <c r="A12" i="9" s="1"/>
  <c r="A13" i="9" s="1"/>
  <c r="A14" i="9" s="1"/>
  <c r="A15" i="9" s="1"/>
  <c r="A16" i="9" s="1"/>
  <c r="A22" i="9" s="1"/>
  <c r="A23" i="9" s="1"/>
  <c r="A24" i="9" s="1"/>
  <c r="A25" i="9" s="1"/>
  <c r="A28" i="9" s="1"/>
  <c r="A29" i="9" s="1"/>
  <c r="A30" i="9" s="1"/>
  <c r="A31" i="9" s="1"/>
  <c r="A34" i="9" s="1"/>
  <c r="A35" i="9" s="1"/>
  <c r="A36" i="9" s="1"/>
  <c r="A37" i="9" s="1"/>
  <c r="A10" i="9"/>
  <c r="A2" i="9"/>
  <c r="A2" i="12" s="1"/>
  <c r="H28" i="8"/>
  <c r="H29" i="8" s="1"/>
  <c r="H30" i="8" s="1"/>
  <c r="H31" i="8" s="1"/>
  <c r="H32" i="8" s="1"/>
  <c r="H26" i="8"/>
  <c r="H27" i="8" s="1"/>
  <c r="H24" i="8"/>
  <c r="H25" i="8" s="1"/>
  <c r="H22" i="8"/>
  <c r="H23" i="8" s="1"/>
  <c r="G21" i="8"/>
  <c r="G22" i="8" s="1"/>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H10" i="8"/>
  <c r="J54" i="8" s="1"/>
  <c r="A8" i="8"/>
  <c r="A9" i="8" s="1"/>
  <c r="A10" i="8" s="1"/>
  <c r="C54" i="7"/>
  <c r="E53" i="7"/>
  <c r="E52" i="7"/>
  <c r="E51" i="7"/>
  <c r="E50" i="7"/>
  <c r="I31" i="7"/>
  <c r="H31" i="7"/>
  <c r="G31" i="7"/>
  <c r="J30" i="7"/>
  <c r="J29" i="7"/>
  <c r="J28" i="7"/>
  <c r="J27" i="7"/>
  <c r="J26" i="7"/>
  <c r="J25" i="7"/>
  <c r="D25" i="6"/>
  <c r="B23" i="6"/>
  <c r="G14" i="6"/>
  <c r="A10" i="6"/>
  <c r="A13" i="6" s="1"/>
  <c r="P41" i="5"/>
  <c r="O25" i="5"/>
  <c r="N25" i="5"/>
  <c r="F25" i="5"/>
  <c r="O23" i="5"/>
  <c r="M23" i="5"/>
  <c r="K23" i="5"/>
  <c r="H23" i="5"/>
  <c r="G23" i="5"/>
  <c r="B23" i="5"/>
  <c r="Q22" i="5"/>
  <c r="Q21" i="5"/>
  <c r="Q20" i="5"/>
  <c r="P23" i="5"/>
  <c r="N23" i="5"/>
  <c r="L23" i="5"/>
  <c r="J23" i="5"/>
  <c r="I23" i="5"/>
  <c r="F23" i="5"/>
  <c r="E23" i="5"/>
  <c r="D23" i="5"/>
  <c r="Q17" i="5"/>
  <c r="P15" i="5"/>
  <c r="N15" i="5"/>
  <c r="M15" i="5"/>
  <c r="I15" i="5"/>
  <c r="G15" i="5"/>
  <c r="F15" i="5"/>
  <c r="E15" i="5"/>
  <c r="E25" i="5" s="1"/>
  <c r="D15" i="5"/>
  <c r="D25" i="5" s="1"/>
  <c r="Q14" i="5"/>
  <c r="Q13" i="5"/>
  <c r="O15" i="5"/>
  <c r="L15" i="5"/>
  <c r="K15" i="5"/>
  <c r="K25" i="5" s="1"/>
  <c r="J15" i="5"/>
  <c r="J25" i="5" s="1"/>
  <c r="H15" i="5"/>
  <c r="H25" i="5" s="1"/>
  <c r="Q12" i="5"/>
  <c r="Q11" i="5"/>
  <c r="E160" i="4"/>
  <c r="E162" i="4" s="1"/>
  <c r="E164" i="4" s="1"/>
  <c r="E167" i="4" s="1"/>
  <c r="E117" i="1" s="1"/>
  <c r="J117" i="1" s="1"/>
  <c r="H148" i="4"/>
  <c r="G136" i="4"/>
  <c r="G135" i="4"/>
  <c r="G134" i="4"/>
  <c r="G133" i="4"/>
  <c r="G132" i="4"/>
  <c r="G131" i="4"/>
  <c r="G130" i="4"/>
  <c r="G129" i="4"/>
  <c r="G128" i="4"/>
  <c r="G127" i="4"/>
  <c r="G126" i="4"/>
  <c r="G125" i="4"/>
  <c r="G124" i="4"/>
  <c r="G112" i="4"/>
  <c r="I107" i="4"/>
  <c r="L100" i="4"/>
  <c r="I89" i="4"/>
  <c r="E68" i="4"/>
  <c r="D67" i="4"/>
  <c r="D66" i="4"/>
  <c r="D65" i="4"/>
  <c r="D64" i="4"/>
  <c r="D63" i="4"/>
  <c r="D62" i="4"/>
  <c r="C51" i="4"/>
  <c r="A49" i="4"/>
  <c r="F44" i="4"/>
  <c r="G43" i="4"/>
  <c r="H43" i="4" s="1"/>
  <c r="G42" i="4"/>
  <c r="H42" i="4" s="1"/>
  <c r="H41" i="4"/>
  <c r="G41" i="4"/>
  <c r="G40" i="4"/>
  <c r="H40" i="4" s="1"/>
  <c r="G39" i="4"/>
  <c r="H39" i="4" s="1"/>
  <c r="H38" i="4"/>
  <c r="G38" i="4"/>
  <c r="G37" i="4"/>
  <c r="H37" i="4" s="1"/>
  <c r="G36" i="4"/>
  <c r="H36" i="4" s="1"/>
  <c r="H35" i="4"/>
  <c r="G35" i="4"/>
  <c r="G34" i="4"/>
  <c r="H34" i="4" s="1"/>
  <c r="G33" i="4"/>
  <c r="H33" i="4" s="1"/>
  <c r="H32" i="4"/>
  <c r="G32" i="4"/>
  <c r="G31" i="4"/>
  <c r="H31" i="4" s="1"/>
  <c r="C10" i="4"/>
  <c r="G7" i="4"/>
  <c r="G5" i="4"/>
  <c r="E103" i="3"/>
  <c r="E101" i="3"/>
  <c r="E100" i="3"/>
  <c r="E99" i="3"/>
  <c r="E97" i="3"/>
  <c r="F106" i="3"/>
  <c r="E87" i="3"/>
  <c r="E86" i="3"/>
  <c r="E85" i="3"/>
  <c r="E82" i="3"/>
  <c r="E81" i="3"/>
  <c r="E79" i="3"/>
  <c r="E78" i="3"/>
  <c r="E71" i="3"/>
  <c r="E70" i="3"/>
  <c r="E69" i="3"/>
  <c r="E66" i="3"/>
  <c r="E63" i="3"/>
  <c r="F74" i="3"/>
  <c r="E71" i="1" s="1"/>
  <c r="E52" i="3"/>
  <c r="E50" i="3"/>
  <c r="E48" i="3"/>
  <c r="E47" i="3"/>
  <c r="E46" i="3"/>
  <c r="E44" i="3"/>
  <c r="E36" i="3"/>
  <c r="E34" i="3"/>
  <c r="E33" i="3"/>
  <c r="E32" i="3"/>
  <c r="E29" i="3"/>
  <c r="E28" i="3"/>
  <c r="E26" i="3"/>
  <c r="E25" i="3"/>
  <c r="E104" i="3"/>
  <c r="E61" i="3"/>
  <c r="A8" i="3"/>
  <c r="C46" i="2"/>
  <c r="E33" i="2"/>
  <c r="D33" i="2"/>
  <c r="C32" i="2"/>
  <c r="C31" i="2"/>
  <c r="F29" i="2"/>
  <c r="F33" i="2" s="1"/>
  <c r="E29" i="2"/>
  <c r="D29" i="2"/>
  <c r="C28" i="2"/>
  <c r="C29" i="2" s="1"/>
  <c r="C33" i="2" s="1"/>
  <c r="C35" i="2" s="1"/>
  <c r="C27" i="2"/>
  <c r="C25" i="2"/>
  <c r="A13" i="2"/>
  <c r="A15" i="2" s="1"/>
  <c r="A12" i="2"/>
  <c r="A9" i="2"/>
  <c r="D6" i="2"/>
  <c r="D15" i="2" s="1"/>
  <c r="E42" i="1" s="1"/>
  <c r="E230" i="1"/>
  <c r="C221" i="1"/>
  <c r="C199" i="1"/>
  <c r="G15" i="6"/>
  <c r="H188" i="1"/>
  <c r="E188" i="1"/>
  <c r="D14" i="6" s="1"/>
  <c r="C185" i="1"/>
  <c r="E183" i="1"/>
  <c r="J174" i="1"/>
  <c r="C174" i="1"/>
  <c r="J173" i="1"/>
  <c r="C173" i="1"/>
  <c r="J147" i="1"/>
  <c r="J143" i="1"/>
  <c r="E143" i="1"/>
  <c r="C140" i="1"/>
  <c r="E137" i="1"/>
  <c r="E141" i="1" s="1"/>
  <c r="E146" i="1" s="1"/>
  <c r="D136" i="1"/>
  <c r="E134" i="1"/>
  <c r="G133" i="1"/>
  <c r="J132" i="1"/>
  <c r="H129" i="1"/>
  <c r="J129" i="1" s="1"/>
  <c r="G129" i="1"/>
  <c r="H128" i="1"/>
  <c r="J128" i="1" s="1"/>
  <c r="C126" i="1"/>
  <c r="J123" i="1"/>
  <c r="E123" i="1"/>
  <c r="H122" i="1"/>
  <c r="J122" i="1" s="1"/>
  <c r="E124" i="1"/>
  <c r="C121" i="1"/>
  <c r="H117" i="1"/>
  <c r="J116" i="1"/>
  <c r="H116" i="1"/>
  <c r="E116" i="1"/>
  <c r="H115" i="1"/>
  <c r="J115" i="1" s="1"/>
  <c r="E115" i="1"/>
  <c r="J114" i="1"/>
  <c r="H114" i="1"/>
  <c r="J112" i="1"/>
  <c r="C94" i="1"/>
  <c r="E93" i="1"/>
  <c r="C93" i="1"/>
  <c r="C91" i="1"/>
  <c r="E86" i="1"/>
  <c r="J86" i="1" s="1"/>
  <c r="H197" i="1" s="1"/>
  <c r="H85" i="1"/>
  <c r="G85" i="1"/>
  <c r="G84" i="1" s="1"/>
  <c r="H84" i="1"/>
  <c r="E82" i="1"/>
  <c r="C80" i="1"/>
  <c r="A2" i="4" s="1"/>
  <c r="H72" i="1"/>
  <c r="G72" i="1"/>
  <c r="G71" i="1"/>
  <c r="G89" i="1" s="1"/>
  <c r="G93" i="1" s="1"/>
  <c r="H67" i="1"/>
  <c r="M57" i="1"/>
  <c r="M101" i="1" s="1"/>
  <c r="M165" i="1" s="1"/>
  <c r="M209" i="1" s="1"/>
  <c r="G42" i="1"/>
  <c r="D42" i="1"/>
  <c r="C42" i="1"/>
  <c r="A42" i="1"/>
  <c r="D27" i="1"/>
  <c r="D16" i="1"/>
  <c r="D17" i="1" s="1"/>
  <c r="D18" i="1" s="1"/>
  <c r="D19" i="1" s="1"/>
  <c r="F37" i="3" l="1"/>
  <c r="A18" i="1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B18" i="10"/>
  <c r="F12" i="12"/>
  <c r="F12" i="16"/>
  <c r="P34" i="5"/>
  <c r="Q15" i="5"/>
  <c r="E93" i="3"/>
  <c r="E77" i="3"/>
  <c r="E40" i="3"/>
  <c r="E24" i="3"/>
  <c r="F53" i="3"/>
  <c r="F21" i="3"/>
  <c r="F26" i="4"/>
  <c r="E94" i="1" s="1"/>
  <c r="A43" i="1"/>
  <c r="A45" i="1" s="1"/>
  <c r="A66" i="1" s="1"/>
  <c r="L51" i="12"/>
  <c r="H51" i="12"/>
  <c r="J51" i="12"/>
  <c r="F90" i="3"/>
  <c r="E72" i="1" s="1"/>
  <c r="J72" i="1" s="1"/>
  <c r="F50" i="7"/>
  <c r="G50" i="7" s="1"/>
  <c r="E147" i="1"/>
  <c r="A9" i="3"/>
  <c r="A10" i="3" s="1"/>
  <c r="A11" i="3" s="1"/>
  <c r="A12" i="3" s="1"/>
  <c r="A13" i="3" s="1"/>
  <c r="A14" i="3" s="1"/>
  <c r="A15" i="3" s="1"/>
  <c r="A16" i="3" s="1"/>
  <c r="A17" i="3" s="1"/>
  <c r="A18" i="3" s="1"/>
  <c r="A19" i="3" s="1"/>
  <c r="A20" i="3" s="1"/>
  <c r="A21" i="3" s="1"/>
  <c r="E30" i="3"/>
  <c r="E51" i="3"/>
  <c r="E83" i="3"/>
  <c r="G23" i="8"/>
  <c r="L29" i="12"/>
  <c r="J29" i="12"/>
  <c r="H9" i="16"/>
  <c r="E9" i="13"/>
  <c r="E12" i="13" s="1"/>
  <c r="G9" i="12"/>
  <c r="F22" i="15"/>
  <c r="E29" i="15"/>
  <c r="E29" i="9"/>
  <c r="E31" i="9" s="1"/>
  <c r="A3" i="16"/>
  <c r="A3" i="15" s="1"/>
  <c r="B2" i="14" s="1"/>
  <c r="B2" i="13" s="1"/>
  <c r="A3" i="9"/>
  <c r="A3" i="12" s="1"/>
  <c r="E102" i="3"/>
  <c r="E98" i="3"/>
  <c r="E94" i="3"/>
  <c r="E49" i="3"/>
  <c r="E45" i="3"/>
  <c r="E41" i="3"/>
  <c r="E88" i="3"/>
  <c r="E84" i="3"/>
  <c r="E80" i="3"/>
  <c r="E35" i="3"/>
  <c r="E31" i="3"/>
  <c r="E27" i="3"/>
  <c r="E105" i="3"/>
  <c r="E72" i="3"/>
  <c r="E68" i="3"/>
  <c r="E64" i="3"/>
  <c r="E42" i="3"/>
  <c r="E62" i="3"/>
  <c r="E67" i="3"/>
  <c r="E95" i="3"/>
  <c r="G44" i="4"/>
  <c r="E83" i="1" s="1"/>
  <c r="J83" i="1" s="1"/>
  <c r="H196" i="1" s="1"/>
  <c r="D20" i="6"/>
  <c r="D24" i="6" s="1"/>
  <c r="D28" i="6" s="1"/>
  <c r="E67" i="10"/>
  <c r="E70" i="10" s="1"/>
  <c r="D10" i="10" s="1"/>
  <c r="D13" i="10" s="1"/>
  <c r="D17" i="10" s="1"/>
  <c r="C59" i="10"/>
  <c r="C67" i="10" s="1"/>
  <c r="C70" i="10" s="1"/>
  <c r="E13" i="11"/>
  <c r="L16" i="12"/>
  <c r="J16" i="12"/>
  <c r="Z9" i="16"/>
  <c r="G9" i="13"/>
  <c r="K9" i="12"/>
  <c r="H22" i="15"/>
  <c r="F51" i="7"/>
  <c r="G51" i="7" s="1"/>
  <c r="E89" i="3"/>
  <c r="H44" i="4"/>
  <c r="G34" i="15"/>
  <c r="I41" i="12"/>
  <c r="G34" i="9"/>
  <c r="F11" i="13"/>
  <c r="G35" i="15"/>
  <c r="G35" i="9"/>
  <c r="A14" i="6"/>
  <c r="A15" i="6" s="1"/>
  <c r="A16" i="6" s="1"/>
  <c r="A17" i="6" s="1"/>
  <c r="A19" i="6" s="1"/>
  <c r="A20" i="6" s="1"/>
  <c r="B22" i="6"/>
  <c r="E43" i="3"/>
  <c r="E73" i="3"/>
  <c r="E96" i="3"/>
  <c r="L25" i="5"/>
  <c r="G25" i="5"/>
  <c r="E21" i="8"/>
  <c r="J42" i="12"/>
  <c r="H42" i="12"/>
  <c r="I25" i="5"/>
  <c r="C15" i="2"/>
  <c r="D68" i="4"/>
  <c r="E84" i="1" s="1"/>
  <c r="J84" i="1" s="1"/>
  <c r="L26" i="12"/>
  <c r="J26" i="12"/>
  <c r="F36" i="16"/>
  <c r="J36" i="16" s="1"/>
  <c r="K36" i="16" s="1"/>
  <c r="F36" i="12"/>
  <c r="L43" i="12"/>
  <c r="H43" i="12"/>
  <c r="J43" i="12"/>
  <c r="G138" i="4"/>
  <c r="L10" i="12"/>
  <c r="J10" i="12"/>
  <c r="H10" i="12"/>
  <c r="F108" i="3"/>
  <c r="M25" i="5"/>
  <c r="E65" i="3"/>
  <c r="P25" i="5"/>
  <c r="F13" i="10"/>
  <c r="G20" i="12"/>
  <c r="G17" i="12"/>
  <c r="G14" i="12"/>
  <c r="G11" i="12"/>
  <c r="G15" i="12"/>
  <c r="G19" i="12"/>
  <c r="F10" i="12"/>
  <c r="G16" i="12"/>
  <c r="F10" i="16"/>
  <c r="G13" i="12"/>
  <c r="G18" i="12"/>
  <c r="G21" i="12"/>
  <c r="E22" i="9"/>
  <c r="F9" i="12"/>
  <c r="E22" i="15"/>
  <c r="Q19" i="5"/>
  <c r="Q23" i="5" s="1"/>
  <c r="E189" i="1" s="1"/>
  <c r="D28" i="12"/>
  <c r="D44" i="12" s="1"/>
  <c r="D13" i="12"/>
  <c r="L32" i="12"/>
  <c r="J32" i="12"/>
  <c r="AD12" i="16"/>
  <c r="AE12" i="16"/>
  <c r="AE19" i="16"/>
  <c r="AD19" i="16"/>
  <c r="U21" i="16"/>
  <c r="V21" i="16"/>
  <c r="J25" i="12"/>
  <c r="I38" i="12"/>
  <c r="M53" i="16"/>
  <c r="L53" i="16"/>
  <c r="Q9" i="16"/>
  <c r="I9" i="12"/>
  <c r="G22" i="9"/>
  <c r="F9" i="13"/>
  <c r="F29" i="15"/>
  <c r="E10" i="14"/>
  <c r="U13" i="16"/>
  <c r="V13" i="16"/>
  <c r="AE14" i="16"/>
  <c r="AD14" i="16"/>
  <c r="V16" i="16"/>
  <c r="U16" i="16"/>
  <c r="D35" i="16"/>
  <c r="D51" i="16"/>
  <c r="AD51" i="16"/>
  <c r="AE51" i="16"/>
  <c r="F26" i="16"/>
  <c r="G28" i="12"/>
  <c r="G33" i="12"/>
  <c r="G31" i="12"/>
  <c r="F26" i="12"/>
  <c r="G29" i="12"/>
  <c r="G37" i="12"/>
  <c r="G34" i="12"/>
  <c r="G32" i="12"/>
  <c r="G30" i="12"/>
  <c r="J34" i="12"/>
  <c r="L34" i="12"/>
  <c r="K25" i="12"/>
  <c r="K38" i="12" s="1"/>
  <c r="H28" i="15"/>
  <c r="G10" i="13"/>
  <c r="H23" i="15"/>
  <c r="G9" i="14"/>
  <c r="G12" i="14" s="1"/>
  <c r="AD32" i="16"/>
  <c r="AD20" i="16"/>
  <c r="AE20" i="16"/>
  <c r="Q26" i="16"/>
  <c r="L18" i="12"/>
  <c r="H18" i="12"/>
  <c r="J18" i="12"/>
  <c r="G35" i="12"/>
  <c r="E9" i="14"/>
  <c r="E12" i="14" s="1"/>
  <c r="F23" i="15"/>
  <c r="D27" i="16"/>
  <c r="D43" i="16"/>
  <c r="M45" i="16"/>
  <c r="L45" i="16"/>
  <c r="L27" i="12"/>
  <c r="J27" i="12"/>
  <c r="L45" i="12"/>
  <c r="H45" i="12"/>
  <c r="J45" i="12"/>
  <c r="L49" i="12"/>
  <c r="H49" i="12"/>
  <c r="J49" i="12"/>
  <c r="Y11" i="16"/>
  <c r="P11" i="16"/>
  <c r="T11" i="16"/>
  <c r="D49" i="16"/>
  <c r="D33" i="16"/>
  <c r="F17" i="10"/>
  <c r="F19" i="10" s="1"/>
  <c r="G27" i="12"/>
  <c r="E34" i="15"/>
  <c r="F41" i="12"/>
  <c r="F54" i="12" s="1"/>
  <c r="E36" i="9" s="1"/>
  <c r="E37" i="9" s="1"/>
  <c r="F10" i="13"/>
  <c r="G28" i="9"/>
  <c r="F9" i="14"/>
  <c r="F10" i="14"/>
  <c r="G29" i="15"/>
  <c r="P14" i="16"/>
  <c r="T14" i="16"/>
  <c r="L28" i="12"/>
  <c r="J44" i="12"/>
  <c r="J50" i="12"/>
  <c r="F35" i="15"/>
  <c r="AB11" i="16"/>
  <c r="AC11" i="16" s="1"/>
  <c r="X22" i="16"/>
  <c r="V18" i="16"/>
  <c r="U18" i="16"/>
  <c r="D45" i="16"/>
  <c r="D29" i="16"/>
  <c r="M49" i="16"/>
  <c r="L49" i="16"/>
  <c r="V50" i="16"/>
  <c r="U50" i="16"/>
  <c r="AE50" i="16"/>
  <c r="AD50" i="16"/>
  <c r="L12" i="12"/>
  <c r="H12" i="12"/>
  <c r="L21" i="12"/>
  <c r="H21" i="12"/>
  <c r="H29" i="15"/>
  <c r="G10" i="14"/>
  <c r="S22" i="16"/>
  <c r="Z27" i="16"/>
  <c r="L48" i="16"/>
  <c r="Z26" i="16"/>
  <c r="AE35" i="16"/>
  <c r="AD35" i="16"/>
  <c r="AE37" i="16"/>
  <c r="AD37" i="16"/>
  <c r="Y46" i="16"/>
  <c r="P46" i="16"/>
  <c r="V49" i="16"/>
  <c r="L41" i="12"/>
  <c r="H41" i="12"/>
  <c r="H34" i="15"/>
  <c r="U10" i="16"/>
  <c r="P13" i="16"/>
  <c r="J54" i="16"/>
  <c r="V10" i="16"/>
  <c r="V12" i="16"/>
  <c r="U12" i="16"/>
  <c r="U15" i="16"/>
  <c r="V15" i="16"/>
  <c r="V20" i="16"/>
  <c r="U20" i="16"/>
  <c r="Y28" i="16"/>
  <c r="Y38" i="16" s="1"/>
  <c r="P28" i="16"/>
  <c r="Q28" i="16" s="1"/>
  <c r="U44" i="16"/>
  <c r="V44" i="16"/>
  <c r="G46" i="16"/>
  <c r="M47" i="16"/>
  <c r="L47" i="16"/>
  <c r="A26" i="19"/>
  <c r="A27" i="19" s="1"/>
  <c r="A28" i="19" s="1"/>
  <c r="A29" i="19" s="1"/>
  <c r="A30" i="19" s="1"/>
  <c r="A25" i="19"/>
  <c r="L15" i="12"/>
  <c r="H15" i="12"/>
  <c r="E28" i="15"/>
  <c r="F25" i="12"/>
  <c r="O54" i="16"/>
  <c r="S43" i="16"/>
  <c r="T43" i="16" s="1"/>
  <c r="P43" i="16"/>
  <c r="L47" i="12"/>
  <c r="H47" i="12"/>
  <c r="L53" i="12"/>
  <c r="H53" i="12"/>
  <c r="F28" i="15"/>
  <c r="G25" i="12"/>
  <c r="P10" i="16"/>
  <c r="Y10" i="16"/>
  <c r="AE29" i="16"/>
  <c r="AD29" i="16"/>
  <c r="AE33" i="16"/>
  <c r="AD33" i="16"/>
  <c r="Y15" i="16"/>
  <c r="P20" i="16"/>
  <c r="S38" i="16"/>
  <c r="T26" i="16"/>
  <c r="AE27" i="16"/>
  <c r="AD27" i="16"/>
  <c r="T36" i="16"/>
  <c r="AB38" i="16"/>
  <c r="K54" i="16"/>
  <c r="M43" i="16"/>
  <c r="M54" i="16" s="1"/>
  <c r="L43" i="16"/>
  <c r="L54" i="16" s="1"/>
  <c r="AE45" i="16"/>
  <c r="AD45" i="16"/>
  <c r="S51" i="16"/>
  <c r="T51" i="16" s="1"/>
  <c r="P51" i="16"/>
  <c r="AE53" i="16"/>
  <c r="AD53" i="16"/>
  <c r="R8" i="21"/>
  <c r="L8" i="21"/>
  <c r="P8" i="21" s="1"/>
  <c r="P18" i="21" s="1"/>
  <c r="E144" i="4" s="1"/>
  <c r="X38" i="16"/>
  <c r="Q29" i="16"/>
  <c r="Q30" i="16" s="1"/>
  <c r="AE31" i="16"/>
  <c r="AD31" i="16"/>
  <c r="T42" i="16"/>
  <c r="AE44" i="16"/>
  <c r="AD44" i="16"/>
  <c r="AE52" i="16"/>
  <c r="AD52" i="16"/>
  <c r="P15" i="16"/>
  <c r="P16" i="16"/>
  <c r="Y19" i="16"/>
  <c r="Y32" i="16"/>
  <c r="AB54" i="16"/>
  <c r="AC42" i="16"/>
  <c r="S47" i="16"/>
  <c r="T47" i="16" s="1"/>
  <c r="P47" i="16"/>
  <c r="AE49" i="16"/>
  <c r="AD49" i="16"/>
  <c r="D53" i="16"/>
  <c r="D37" i="16"/>
  <c r="AC38" i="16"/>
  <c r="V30" i="16"/>
  <c r="U30" i="16"/>
  <c r="V34" i="16"/>
  <c r="U34" i="16"/>
  <c r="Y36" i="16"/>
  <c r="G36" i="16"/>
  <c r="O38" i="16"/>
  <c r="Y50" i="16"/>
  <c r="P50" i="16"/>
  <c r="AB22" i="16"/>
  <c r="AC10" i="16"/>
  <c r="AD26" i="16"/>
  <c r="V27" i="16"/>
  <c r="Y42" i="16"/>
  <c r="P42" i="16"/>
  <c r="H44" i="16"/>
  <c r="U8" i="18"/>
  <c r="Y8" i="18" s="1"/>
  <c r="Y33" i="18" s="1"/>
  <c r="O22" i="16"/>
  <c r="AE26" i="16"/>
  <c r="T28" i="16"/>
  <c r="T46" i="16"/>
  <c r="G50" i="16"/>
  <c r="L52" i="16"/>
  <c r="AD16" i="16"/>
  <c r="AE16" i="16"/>
  <c r="N42" i="16"/>
  <c r="N43" i="16" s="1"/>
  <c r="N44" i="16" s="1"/>
  <c r="N45" i="16" s="1"/>
  <c r="N46" i="16" s="1"/>
  <c r="N47" i="16" s="1"/>
  <c r="N48" i="16" s="1"/>
  <c r="N49" i="16" s="1"/>
  <c r="N50" i="16" s="1"/>
  <c r="N51" i="16" s="1"/>
  <c r="N52" i="16" s="1"/>
  <c r="N53" i="16" s="1"/>
  <c r="F36" i="15" s="1"/>
  <c r="H42" i="16"/>
  <c r="H43" i="16" s="1"/>
  <c r="AE48" i="16"/>
  <c r="AD48" i="16"/>
  <c r="T32" i="16"/>
  <c r="P36" i="16"/>
  <c r="U37" i="16"/>
  <c r="AC46" i="16"/>
  <c r="Y49" i="16"/>
  <c r="M51" i="16"/>
  <c r="L51" i="16"/>
  <c r="P27" i="16"/>
  <c r="Q27" i="16" s="1"/>
  <c r="P31" i="16"/>
  <c r="P35" i="16"/>
  <c r="V48" i="16"/>
  <c r="V52" i="16"/>
  <c r="Y29" i="16"/>
  <c r="Y33" i="16"/>
  <c r="Y37" i="16"/>
  <c r="G45" i="16"/>
  <c r="G49" i="16"/>
  <c r="G53" i="16"/>
  <c r="D28" i="16"/>
  <c r="D32" i="16"/>
  <c r="D36" i="16"/>
  <c r="X54" i="16"/>
  <c r="P44" i="16"/>
  <c r="P48" i="16"/>
  <c r="P52" i="16"/>
  <c r="AC22" i="16" l="1"/>
  <c r="AE10" i="16"/>
  <c r="AE22" i="16" s="1"/>
  <c r="AD10" i="16"/>
  <c r="AD11" i="16"/>
  <c r="AE11" i="16"/>
  <c r="P38" i="16"/>
  <c r="F32" i="16"/>
  <c r="F32" i="12"/>
  <c r="I22" i="12"/>
  <c r="J9" i="12"/>
  <c r="J22" i="12" s="1"/>
  <c r="G24" i="9" s="1"/>
  <c r="F13" i="16"/>
  <c r="F13" i="12"/>
  <c r="H13" i="12"/>
  <c r="L36" i="16"/>
  <c r="M36" i="16"/>
  <c r="G24" i="8"/>
  <c r="Z46" i="16"/>
  <c r="Z47" i="16" s="1"/>
  <c r="Z48" i="16" s="1"/>
  <c r="Z49" i="16" s="1"/>
  <c r="Z50" i="16" s="1"/>
  <c r="Z51" i="16" s="1"/>
  <c r="Z52" i="16" s="1"/>
  <c r="Z53" i="16" s="1"/>
  <c r="F37" i="16"/>
  <c r="F37" i="12"/>
  <c r="F16" i="12"/>
  <c r="F16" i="16"/>
  <c r="H45" i="16"/>
  <c r="G54" i="16"/>
  <c r="AE46" i="16"/>
  <c r="AD46" i="16"/>
  <c r="F29" i="16"/>
  <c r="F29" i="12"/>
  <c r="B24" i="6"/>
  <c r="A21" i="6"/>
  <c r="P36" i="5"/>
  <c r="H187" i="1" s="1"/>
  <c r="E187" i="1"/>
  <c r="Q25" i="5"/>
  <c r="E113" i="1"/>
  <c r="J113" i="1" s="1"/>
  <c r="E111" i="1"/>
  <c r="V36" i="16"/>
  <c r="U36" i="16"/>
  <c r="F27" i="16"/>
  <c r="F27" i="12"/>
  <c r="F35" i="12"/>
  <c r="F35" i="16"/>
  <c r="D14" i="12"/>
  <c r="D29" i="12"/>
  <c r="D45" i="12" s="1"/>
  <c r="F19" i="16"/>
  <c r="H19" i="12"/>
  <c r="F19" i="12"/>
  <c r="P54" i="16"/>
  <c r="Q42" i="16"/>
  <c r="S8" i="21"/>
  <c r="T8" i="21" s="1"/>
  <c r="U8" i="21" s="1"/>
  <c r="V8" i="21" s="1"/>
  <c r="W8" i="21" s="1"/>
  <c r="X8" i="21" s="1"/>
  <c r="Y8" i="21" s="1"/>
  <c r="Z8" i="21" s="1"/>
  <c r="AA8" i="21" s="1"/>
  <c r="AB8" i="21" s="1"/>
  <c r="AC8" i="21" s="1"/>
  <c r="AC18" i="21" s="1"/>
  <c r="AD8" i="21"/>
  <c r="AJ8" i="21" s="1"/>
  <c r="AJ18" i="21" s="1"/>
  <c r="E146" i="4" s="1"/>
  <c r="E85" i="1" s="1"/>
  <c r="J85" i="1" s="1"/>
  <c r="H198" i="1" s="1"/>
  <c r="Q43" i="16"/>
  <c r="V22" i="16"/>
  <c r="F31" i="16"/>
  <c r="F31" i="12"/>
  <c r="F15" i="16"/>
  <c r="F15" i="12"/>
  <c r="A23" i="3"/>
  <c r="A24" i="3" s="1"/>
  <c r="A67" i="1"/>
  <c r="C68" i="1" s="1"/>
  <c r="C172" i="1"/>
  <c r="E73" i="1"/>
  <c r="F37" i="15"/>
  <c r="E11" i="15" s="1"/>
  <c r="F34" i="16"/>
  <c r="F34" i="12"/>
  <c r="J10" i="16"/>
  <c r="G10" i="16"/>
  <c r="V32" i="16"/>
  <c r="U32" i="16"/>
  <c r="Z42" i="16"/>
  <c r="Z43" i="16" s="1"/>
  <c r="Z44" i="16" s="1"/>
  <c r="Z45" i="16" s="1"/>
  <c r="Y54" i="16"/>
  <c r="V47" i="16"/>
  <c r="U47" i="16"/>
  <c r="V43" i="16"/>
  <c r="U43" i="16"/>
  <c r="H46" i="16"/>
  <c r="H47" i="16" s="1"/>
  <c r="H48" i="16" s="1"/>
  <c r="H49" i="16" s="1"/>
  <c r="H50" i="16" s="1"/>
  <c r="H51" i="16" s="1"/>
  <c r="H52" i="16" s="1"/>
  <c r="H53" i="16" s="1"/>
  <c r="U14" i="16"/>
  <c r="V14" i="16"/>
  <c r="F33" i="16"/>
  <c r="F33" i="12"/>
  <c r="D15" i="6"/>
  <c r="F11" i="12"/>
  <c r="F11" i="16"/>
  <c r="H11" i="12"/>
  <c r="K22" i="12"/>
  <c r="L9" i="12"/>
  <c r="L22" i="12" s="1"/>
  <c r="H24" i="9" s="1"/>
  <c r="D45" i="1"/>
  <c r="J12" i="16"/>
  <c r="K12" i="16" s="1"/>
  <c r="G12" i="16"/>
  <c r="AC54" i="16"/>
  <c r="AE42" i="16"/>
  <c r="AD42" i="16"/>
  <c r="F28" i="16"/>
  <c r="F28" i="12"/>
  <c r="J38" i="12"/>
  <c r="G30" i="9" s="1"/>
  <c r="G31" i="9" s="1"/>
  <c r="F10" i="9" s="1"/>
  <c r="F14" i="12"/>
  <c r="F14" i="16"/>
  <c r="H14" i="12"/>
  <c r="G12" i="13"/>
  <c r="G22" i="12"/>
  <c r="H9" i="12"/>
  <c r="D21" i="3"/>
  <c r="Q44" i="16"/>
  <c r="Q45" i="16" s="1"/>
  <c r="Q46" i="16" s="1"/>
  <c r="Q47" i="16" s="1"/>
  <c r="Q48" i="16" s="1"/>
  <c r="Q49" i="16" s="1"/>
  <c r="Q50" i="16" s="1"/>
  <c r="Q51" i="16" s="1"/>
  <c r="Q52" i="16" s="1"/>
  <c r="Q53" i="16" s="1"/>
  <c r="AD38" i="16"/>
  <c r="S54" i="16"/>
  <c r="AF10" i="16"/>
  <c r="AF11" i="16" s="1"/>
  <c r="AF12" i="16" s="1"/>
  <c r="AF13" i="16" s="1"/>
  <c r="AF14" i="16" s="1"/>
  <c r="AF15" i="16" s="1"/>
  <c r="AF16" i="16" s="1"/>
  <c r="AF17" i="16" s="1"/>
  <c r="AF18" i="16" s="1"/>
  <c r="AF19" i="16" s="1"/>
  <c r="AF20" i="16" s="1"/>
  <c r="AF21" i="16" s="1"/>
  <c r="H24" i="15" s="1"/>
  <c r="H25" i="15" s="1"/>
  <c r="G9" i="15" s="1"/>
  <c r="Y22" i="16"/>
  <c r="Z10" i="16"/>
  <c r="Z11" i="16" s="1"/>
  <c r="Z12" i="16" s="1"/>
  <c r="Z13" i="16" s="1"/>
  <c r="Z14" i="16" s="1"/>
  <c r="Z15" i="16" s="1"/>
  <c r="Z16" i="16" s="1"/>
  <c r="Z17" i="16" s="1"/>
  <c r="Z18" i="16" s="1"/>
  <c r="Z19" i="16" s="1"/>
  <c r="Z20" i="16" s="1"/>
  <c r="Z21" i="16" s="1"/>
  <c r="U22" i="16"/>
  <c r="G26" i="16"/>
  <c r="J26" i="16"/>
  <c r="F38" i="16"/>
  <c r="E30" i="15" s="1"/>
  <c r="E31" i="15" s="1"/>
  <c r="F17" i="12"/>
  <c r="F22" i="12" s="1"/>
  <c r="H17" i="12"/>
  <c r="F17" i="16"/>
  <c r="I21" i="8"/>
  <c r="E22" i="8"/>
  <c r="J41" i="12"/>
  <c r="J54" i="12" s="1"/>
  <c r="G36" i="9" s="1"/>
  <c r="G37" i="9" s="1"/>
  <c r="I54" i="12"/>
  <c r="Q35" i="16"/>
  <c r="Q36" i="16" s="1"/>
  <c r="Q37" i="16" s="1"/>
  <c r="V46" i="16"/>
  <c r="U46" i="16"/>
  <c r="V42" i="16"/>
  <c r="V54" i="16" s="1"/>
  <c r="T54" i="16"/>
  <c r="U42" i="16"/>
  <c r="U54" i="16" s="1"/>
  <c r="V51" i="16"/>
  <c r="U51" i="16"/>
  <c r="V26" i="16"/>
  <c r="U26" i="16"/>
  <c r="T38" i="16"/>
  <c r="Q10" i="16"/>
  <c r="Q11" i="16" s="1"/>
  <c r="Q12" i="16" s="1"/>
  <c r="Q13" i="16" s="1"/>
  <c r="Q14" i="16" s="1"/>
  <c r="Q15" i="16" s="1"/>
  <c r="Q16" i="16" s="1"/>
  <c r="Q17" i="16" s="1"/>
  <c r="Q18" i="16" s="1"/>
  <c r="Q19" i="16" s="1"/>
  <c r="Q20" i="16" s="1"/>
  <c r="Q21" i="16" s="1"/>
  <c r="W10" i="16"/>
  <c r="W11" i="16" s="1"/>
  <c r="W12" i="16" s="1"/>
  <c r="W13" i="16" s="1"/>
  <c r="W14" i="16" s="1"/>
  <c r="W15" i="16" s="1"/>
  <c r="W16" i="16" s="1"/>
  <c r="W17" i="16" s="1"/>
  <c r="W18" i="16" s="1"/>
  <c r="W19" i="16" s="1"/>
  <c r="W20" i="16" s="1"/>
  <c r="W21" i="16" s="1"/>
  <c r="G24" i="15" s="1"/>
  <c r="G25" i="15" s="1"/>
  <c r="F9" i="15" s="1"/>
  <c r="P22" i="16"/>
  <c r="AF26" i="16"/>
  <c r="AF27" i="16" s="1"/>
  <c r="AF28" i="16" s="1"/>
  <c r="AF29" i="16" s="1"/>
  <c r="AF30" i="16" s="1"/>
  <c r="AF31" i="16" s="1"/>
  <c r="AF32" i="16" s="1"/>
  <c r="AF33" i="16" s="1"/>
  <c r="AF34" i="16" s="1"/>
  <c r="AF35" i="16" s="1"/>
  <c r="AF36" i="16" s="1"/>
  <c r="AF37" i="16" s="1"/>
  <c r="H30" i="15" s="1"/>
  <c r="H31" i="15" s="1"/>
  <c r="G10" i="15" s="1"/>
  <c r="F20" i="12"/>
  <c r="F20" i="16"/>
  <c r="H20" i="12"/>
  <c r="H16" i="12"/>
  <c r="G54" i="7"/>
  <c r="F55" i="3"/>
  <c r="E66" i="1"/>
  <c r="Q31" i="16"/>
  <c r="Q32" i="16" s="1"/>
  <c r="Q33" i="16" s="1"/>
  <c r="Q34" i="16" s="1"/>
  <c r="V28" i="16"/>
  <c r="U28" i="16"/>
  <c r="G38" i="12"/>
  <c r="F38" i="12"/>
  <c r="Z28" i="16"/>
  <c r="Z29" i="16" s="1"/>
  <c r="Z30" i="16" s="1"/>
  <c r="Z31" i="16" s="1"/>
  <c r="Z32" i="16" s="1"/>
  <c r="Z33" i="16" s="1"/>
  <c r="Z34" i="16" s="1"/>
  <c r="Z35" i="16" s="1"/>
  <c r="Z36" i="16" s="1"/>
  <c r="Z37" i="16" s="1"/>
  <c r="H54" i="12"/>
  <c r="F36" i="9" s="1"/>
  <c r="F37" i="9" s="1"/>
  <c r="U11" i="16"/>
  <c r="V11" i="16"/>
  <c r="F12" i="13"/>
  <c r="F21" i="16"/>
  <c r="F21" i="12"/>
  <c r="H25" i="12"/>
  <c r="H38" i="12" s="1"/>
  <c r="AE38" i="16"/>
  <c r="L54" i="12"/>
  <c r="H36" i="9" s="1"/>
  <c r="H37" i="9" s="1"/>
  <c r="T22" i="16"/>
  <c r="F12" i="14"/>
  <c r="F30" i="16"/>
  <c r="F30" i="12"/>
  <c r="F18" i="16"/>
  <c r="F18" i="12"/>
  <c r="L25" i="12"/>
  <c r="L38" i="12" s="1"/>
  <c r="H30" i="9" s="1"/>
  <c r="H31" i="9" s="1"/>
  <c r="G10" i="9" s="1"/>
  <c r="E67" i="1"/>
  <c r="H10" i="16" l="1"/>
  <c r="G9" i="9"/>
  <c r="G12" i="9" s="1"/>
  <c r="G16" i="9" s="1"/>
  <c r="H25" i="9"/>
  <c r="J28" i="16"/>
  <c r="K28" i="16" s="1"/>
  <c r="G28" i="16"/>
  <c r="H28" i="16" s="1"/>
  <c r="M12" i="16"/>
  <c r="L12" i="16"/>
  <c r="J29" i="16"/>
  <c r="K29" i="16" s="1"/>
  <c r="G29" i="16"/>
  <c r="J13" i="16"/>
  <c r="K13" i="16" s="1"/>
  <c r="G13" i="16"/>
  <c r="J20" i="16"/>
  <c r="K20" i="16" s="1"/>
  <c r="G20" i="16"/>
  <c r="A68" i="1"/>
  <c r="A70" i="1" s="1"/>
  <c r="A71" i="1" s="1"/>
  <c r="F22" i="16"/>
  <c r="E24" i="15" s="1"/>
  <c r="E25" i="15" s="1"/>
  <c r="H22" i="12"/>
  <c r="J32" i="16"/>
  <c r="K32" i="16" s="1"/>
  <c r="G32" i="16"/>
  <c r="E77" i="1"/>
  <c r="J67" i="1"/>
  <c r="J77" i="1" s="1"/>
  <c r="H26" i="16"/>
  <c r="J11" i="16"/>
  <c r="K11" i="16" s="1"/>
  <c r="G11" i="16"/>
  <c r="G34" i="16"/>
  <c r="J34" i="16"/>
  <c r="K34" i="16" s="1"/>
  <c r="A25" i="3"/>
  <c r="A26" i="3" s="1"/>
  <c r="A27" i="3" s="1"/>
  <c r="A28" i="3" s="1"/>
  <c r="A29" i="3" s="1"/>
  <c r="A30" i="3" s="1"/>
  <c r="A31" i="3" s="1"/>
  <c r="A32" i="3" s="1"/>
  <c r="A33" i="3" s="1"/>
  <c r="A34" i="3" s="1"/>
  <c r="A35" i="3" s="1"/>
  <c r="A36" i="3" s="1"/>
  <c r="A37" i="3" s="1"/>
  <c r="D37" i="3"/>
  <c r="D30" i="12"/>
  <c r="D46" i="12" s="1"/>
  <c r="D15" i="12"/>
  <c r="AD54" i="16"/>
  <c r="J19" i="16"/>
  <c r="K19" i="16" s="1"/>
  <c r="G19" i="16"/>
  <c r="J35" i="16"/>
  <c r="K35" i="16" s="1"/>
  <c r="G35" i="16"/>
  <c r="G25" i="8"/>
  <c r="W42" i="16"/>
  <c r="W43" i="16" s="1"/>
  <c r="W44" i="16" s="1"/>
  <c r="W45" i="16" s="1"/>
  <c r="W46" i="16" s="1"/>
  <c r="W47" i="16" s="1"/>
  <c r="W48" i="16" s="1"/>
  <c r="W49" i="16" s="1"/>
  <c r="W50" i="16" s="1"/>
  <c r="W51" i="16" s="1"/>
  <c r="W52" i="16" s="1"/>
  <c r="W53" i="16" s="1"/>
  <c r="G36" i="15" s="1"/>
  <c r="G37" i="15" s="1"/>
  <c r="F11" i="15" s="1"/>
  <c r="F12" i="15" s="1"/>
  <c r="F16" i="15" s="1"/>
  <c r="E190" i="1"/>
  <c r="D13" i="6"/>
  <c r="D16" i="6" s="1"/>
  <c r="F187" i="1"/>
  <c r="E13" i="6" s="1"/>
  <c r="I13" i="6" s="1"/>
  <c r="F9" i="9"/>
  <c r="F12" i="9" s="1"/>
  <c r="F16" i="9" s="1"/>
  <c r="G25" i="9"/>
  <c r="K10" i="16"/>
  <c r="K26" i="16"/>
  <c r="J18" i="16"/>
  <c r="K18" i="16" s="1"/>
  <c r="G18" i="16"/>
  <c r="J21" i="16"/>
  <c r="K21" i="16" s="1"/>
  <c r="G21" i="16"/>
  <c r="E76" i="1"/>
  <c r="J172" i="1"/>
  <c r="J175" i="1" s="1"/>
  <c r="J177" i="1" s="1"/>
  <c r="E68" i="1"/>
  <c r="J14" i="16"/>
  <c r="K14" i="16" s="1"/>
  <c r="G14" i="16"/>
  <c r="G13" i="6"/>
  <c r="J16" i="16"/>
  <c r="K16" i="16" s="1"/>
  <c r="G16" i="16"/>
  <c r="U38" i="16"/>
  <c r="E23" i="8"/>
  <c r="I22" i="8"/>
  <c r="L22" i="8" s="1"/>
  <c r="J15" i="16"/>
  <c r="K15" i="16" s="1"/>
  <c r="G15" i="16"/>
  <c r="J27" i="16"/>
  <c r="K27" i="16" s="1"/>
  <c r="G27" i="16"/>
  <c r="H27" i="16" s="1"/>
  <c r="B27" i="6"/>
  <c r="A22" i="6"/>
  <c r="A23" i="6" s="1"/>
  <c r="A24" i="6" s="1"/>
  <c r="AD22" i="16"/>
  <c r="E118" i="1"/>
  <c r="AE54" i="16"/>
  <c r="AF42" i="16"/>
  <c r="AF43" i="16" s="1"/>
  <c r="AF44" i="16" s="1"/>
  <c r="AF45" i="16" s="1"/>
  <c r="AF46" i="16" s="1"/>
  <c r="AF47" i="16" s="1"/>
  <c r="AF48" i="16" s="1"/>
  <c r="AF49" i="16" s="1"/>
  <c r="AF50" i="16" s="1"/>
  <c r="AF51" i="16" s="1"/>
  <c r="AF52" i="16" s="1"/>
  <c r="AF53" i="16" s="1"/>
  <c r="H36" i="15" s="1"/>
  <c r="H37" i="15" s="1"/>
  <c r="G11" i="15" s="1"/>
  <c r="G12" i="15" s="1"/>
  <c r="G16" i="15" s="1"/>
  <c r="G30" i="16"/>
  <c r="J30" i="16"/>
  <c r="K30" i="16" s="1"/>
  <c r="V38" i="16"/>
  <c r="L21" i="8"/>
  <c r="J33" i="16"/>
  <c r="K33" i="16" s="1"/>
  <c r="G33" i="16"/>
  <c r="W26" i="16"/>
  <c r="W27" i="16" s="1"/>
  <c r="W28" i="16" s="1"/>
  <c r="W29" i="16" s="1"/>
  <c r="W30" i="16" s="1"/>
  <c r="W31" i="16" s="1"/>
  <c r="W32" i="16" s="1"/>
  <c r="W33" i="16" s="1"/>
  <c r="W34" i="16" s="1"/>
  <c r="W35" i="16" s="1"/>
  <c r="W36" i="16" s="1"/>
  <c r="W37" i="16" s="1"/>
  <c r="G30" i="15" s="1"/>
  <c r="G31" i="15" s="1"/>
  <c r="F10" i="15" s="1"/>
  <c r="J17" i="16"/>
  <c r="K17" i="16" s="1"/>
  <c r="G17" i="16"/>
  <c r="J31" i="16"/>
  <c r="K31" i="16" s="1"/>
  <c r="G31" i="16"/>
  <c r="J37" i="16"/>
  <c r="K37" i="16" s="1"/>
  <c r="G37" i="16"/>
  <c r="A39" i="3" l="1"/>
  <c r="A40" i="3" s="1"/>
  <c r="M14" i="16"/>
  <c r="L14" i="16"/>
  <c r="H29" i="16"/>
  <c r="H30" i="16" s="1"/>
  <c r="H31" i="16" s="1"/>
  <c r="H32" i="16" s="1"/>
  <c r="H33" i="16" s="1"/>
  <c r="H34" i="16" s="1"/>
  <c r="H35" i="16" s="1"/>
  <c r="H36" i="16" s="1"/>
  <c r="H37" i="16" s="1"/>
  <c r="H110" i="1"/>
  <c r="H121" i="1"/>
  <c r="J121" i="1" s="1"/>
  <c r="H71" i="1"/>
  <c r="J71" i="1" s="1"/>
  <c r="J73" i="1" s="1"/>
  <c r="F181" i="1"/>
  <c r="H181" i="1" s="1"/>
  <c r="H183" i="1" s="1"/>
  <c r="H89" i="1"/>
  <c r="H66" i="1"/>
  <c r="L27" i="16"/>
  <c r="M27" i="16"/>
  <c r="D31" i="12"/>
  <c r="D47" i="12" s="1"/>
  <c r="D16" i="12"/>
  <c r="M30" i="16"/>
  <c r="L30" i="16"/>
  <c r="L32" i="16"/>
  <c r="M32" i="16"/>
  <c r="E24" i="8"/>
  <c r="I23" i="8"/>
  <c r="M21" i="16"/>
  <c r="L21" i="16"/>
  <c r="M34" i="16"/>
  <c r="L34" i="16"/>
  <c r="G26" i="8"/>
  <c r="M18" i="16"/>
  <c r="L18" i="16"/>
  <c r="H11" i="16"/>
  <c r="H12" i="16" s="1"/>
  <c r="H13" i="16" s="1"/>
  <c r="H14" i="16" s="1"/>
  <c r="H15" i="16" s="1"/>
  <c r="H16" i="16" s="1"/>
  <c r="H17" i="16" s="1"/>
  <c r="H18" i="16" s="1"/>
  <c r="H19" i="16" s="1"/>
  <c r="H20" i="16" s="1"/>
  <c r="H21" i="16" s="1"/>
  <c r="A72" i="1"/>
  <c r="C73" i="1" s="1"/>
  <c r="D76" i="1"/>
  <c r="E78" i="1"/>
  <c r="F188" i="1"/>
  <c r="F189" i="1"/>
  <c r="F24" i="9"/>
  <c r="E58" i="11"/>
  <c r="E24" i="9"/>
  <c r="E25" i="9" s="1"/>
  <c r="L31" i="16"/>
  <c r="M31" i="16"/>
  <c r="E92" i="1"/>
  <c r="E95" i="1" s="1"/>
  <c r="J38" i="16"/>
  <c r="J187" i="1"/>
  <c r="M26" i="16"/>
  <c r="K38" i="16"/>
  <c r="L26" i="16"/>
  <c r="L35" i="16"/>
  <c r="M35" i="16"/>
  <c r="L20" i="16"/>
  <c r="M20" i="16"/>
  <c r="G22" i="16"/>
  <c r="L29" i="16"/>
  <c r="M29" i="16"/>
  <c r="L37" i="16"/>
  <c r="M37" i="16"/>
  <c r="L15" i="16"/>
  <c r="M15" i="16"/>
  <c r="L28" i="16"/>
  <c r="M28" i="16"/>
  <c r="M17" i="16"/>
  <c r="L17" i="16"/>
  <c r="M16" i="16"/>
  <c r="L16" i="16"/>
  <c r="L11" i="16"/>
  <c r="M11" i="16"/>
  <c r="B28" i="6"/>
  <c r="A25" i="6"/>
  <c r="A26" i="6" s="1"/>
  <c r="A27" i="6" s="1"/>
  <c r="L10" i="16"/>
  <c r="N10" i="16" s="1"/>
  <c r="N11" i="16" s="1"/>
  <c r="N12" i="16" s="1"/>
  <c r="N13" i="16" s="1"/>
  <c r="N14" i="16" s="1"/>
  <c r="N15" i="16" s="1"/>
  <c r="N16" i="16" s="1"/>
  <c r="N17" i="16" s="1"/>
  <c r="N18" i="16" s="1"/>
  <c r="N19" i="16" s="1"/>
  <c r="N20" i="16" s="1"/>
  <c r="N21" i="16" s="1"/>
  <c r="F24" i="15" s="1"/>
  <c r="F25" i="15" s="1"/>
  <c r="E9" i="15" s="1"/>
  <c r="K22" i="16"/>
  <c r="M10" i="16"/>
  <c r="L33" i="16"/>
  <c r="M33" i="16"/>
  <c r="J22" i="16"/>
  <c r="L19" i="16"/>
  <c r="M19" i="16"/>
  <c r="G38" i="16"/>
  <c r="M13" i="16"/>
  <c r="L13" i="16"/>
  <c r="E9" i="9" l="1"/>
  <c r="E12" i="9" s="1"/>
  <c r="E16" i="9" s="1"/>
  <c r="H16" i="9" s="1"/>
  <c r="E81" i="1" s="1"/>
  <c r="E87" i="1" s="1"/>
  <c r="E97" i="1" s="1"/>
  <c r="F25" i="9"/>
  <c r="H111" i="1"/>
  <c r="J111" i="1" s="1"/>
  <c r="J110" i="1"/>
  <c r="J118" i="1" s="1"/>
  <c r="L7" i="7"/>
  <c r="J124" i="1"/>
  <c r="E15" i="6"/>
  <c r="I15" i="6" s="1"/>
  <c r="J189" i="1"/>
  <c r="J190" i="1" s="1"/>
  <c r="G27" i="8"/>
  <c r="L38" i="16"/>
  <c r="M38" i="16"/>
  <c r="D17" i="12"/>
  <c r="D32" i="12"/>
  <c r="D48" i="12" s="1"/>
  <c r="M22" i="16"/>
  <c r="E67" i="11"/>
  <c r="E70" i="11" s="1"/>
  <c r="D10" i="11" s="1"/>
  <c r="D13" i="11" s="1"/>
  <c r="D17" i="11" s="1"/>
  <c r="C58" i="11"/>
  <c r="C67" i="11" s="1"/>
  <c r="C70" i="11" s="1"/>
  <c r="E14" i="6"/>
  <c r="I14" i="6" s="1"/>
  <c r="J188" i="1"/>
  <c r="A73" i="1"/>
  <c r="A75" i="1" s="1"/>
  <c r="A76" i="1" s="1"/>
  <c r="D77" i="1"/>
  <c r="A41" i="3"/>
  <c r="A42" i="3" s="1"/>
  <c r="A43" i="3" s="1"/>
  <c r="A44" i="3" s="1"/>
  <c r="A45" i="3" s="1"/>
  <c r="A46" i="3" s="1"/>
  <c r="A47" i="3" s="1"/>
  <c r="A48" i="3" s="1"/>
  <c r="A49" i="3" s="1"/>
  <c r="A50" i="3" s="1"/>
  <c r="A51" i="3" s="1"/>
  <c r="A52" i="3" s="1"/>
  <c r="A53" i="3" s="1"/>
  <c r="L22" i="16"/>
  <c r="H42" i="1"/>
  <c r="J42" i="1" s="1"/>
  <c r="J66" i="1"/>
  <c r="L23" i="8"/>
  <c r="A28" i="6"/>
  <c r="A29" i="6" s="1"/>
  <c r="A32" i="6" s="1"/>
  <c r="A34" i="6" s="1"/>
  <c r="A35" i="6" s="1"/>
  <c r="A36" i="6" s="1"/>
  <c r="A37" i="6" s="1"/>
  <c r="A38" i="6" s="1"/>
  <c r="A39" i="6" s="1"/>
  <c r="N26" i="16"/>
  <c r="N27" i="16" s="1"/>
  <c r="N28" i="16" s="1"/>
  <c r="N29" i="16" s="1"/>
  <c r="N30" i="16" s="1"/>
  <c r="N31" i="16" s="1"/>
  <c r="N32" i="16" s="1"/>
  <c r="N33" i="16" s="1"/>
  <c r="N34" i="16" s="1"/>
  <c r="N35" i="16" s="1"/>
  <c r="N36" i="16" s="1"/>
  <c r="N37" i="16" s="1"/>
  <c r="F30" i="15" s="1"/>
  <c r="F31" i="15" s="1"/>
  <c r="E10" i="15" s="1"/>
  <c r="E12" i="15" s="1"/>
  <c r="E16" i="15" s="1"/>
  <c r="H16" i="15" s="1"/>
  <c r="E25" i="8"/>
  <c r="I24" i="8"/>
  <c r="L24" i="8" s="1"/>
  <c r="J89" i="1"/>
  <c r="H93" i="1"/>
  <c r="J93" i="1" s="1"/>
  <c r="E151" i="1" l="1"/>
  <c r="E138" i="1"/>
  <c r="G28" i="8"/>
  <c r="D195" i="1"/>
  <c r="A77" i="1"/>
  <c r="A78" i="1" s="1"/>
  <c r="C78" i="1"/>
  <c r="D18" i="10"/>
  <c r="C29" i="6"/>
  <c r="J92" i="1"/>
  <c r="A55" i="3"/>
  <c r="A60" i="3" s="1"/>
  <c r="A61" i="3" s="1"/>
  <c r="D55" i="3"/>
  <c r="E26" i="8"/>
  <c r="I25" i="8"/>
  <c r="L25" i="8" s="1"/>
  <c r="I16" i="6"/>
  <c r="J76" i="1"/>
  <c r="J68" i="1"/>
  <c r="H68" i="1" s="1"/>
  <c r="D33" i="12"/>
  <c r="D49" i="12" s="1"/>
  <c r="D18" i="12"/>
  <c r="D53" i="3"/>
  <c r="J95" i="1" l="1"/>
  <c r="D34" i="12"/>
  <c r="D50" i="12" s="1"/>
  <c r="D19" i="12"/>
  <c r="H131" i="1"/>
  <c r="J131" i="1" s="1"/>
  <c r="H94" i="1"/>
  <c r="J94" i="1" s="1"/>
  <c r="H133" i="1"/>
  <c r="J133" i="1" s="1"/>
  <c r="J78" i="1"/>
  <c r="H195" i="1"/>
  <c r="H199" i="1" s="1"/>
  <c r="D19" i="10"/>
  <c r="D21" i="6"/>
  <c r="A80" i="1"/>
  <c r="A81" i="1" s="1"/>
  <c r="E27" i="8"/>
  <c r="I26" i="8"/>
  <c r="G29" i="8"/>
  <c r="E145" i="1"/>
  <c r="E148" i="1" s="1"/>
  <c r="E153" i="1" s="1"/>
  <c r="A62" i="3"/>
  <c r="A63" i="3" s="1"/>
  <c r="A64" i="3" s="1"/>
  <c r="A65" i="3" s="1"/>
  <c r="A66" i="3" s="1"/>
  <c r="A67" i="3" s="1"/>
  <c r="A68" i="3" s="1"/>
  <c r="A69" i="3" s="1"/>
  <c r="A70" i="3" s="1"/>
  <c r="A71" i="3" s="1"/>
  <c r="A72" i="3" s="1"/>
  <c r="A73" i="3" s="1"/>
  <c r="A74" i="3" s="1"/>
  <c r="A76" i="3" l="1"/>
  <c r="A77" i="3" s="1"/>
  <c r="L9" i="7"/>
  <c r="J38" i="6"/>
  <c r="H78" i="1"/>
  <c r="G30" i="8"/>
  <c r="H19" i="10"/>
  <c r="A82" i="1"/>
  <c r="A83" i="1" s="1"/>
  <c r="J134" i="1"/>
  <c r="E28" i="8"/>
  <c r="I27" i="8"/>
  <c r="L27" i="8" s="1"/>
  <c r="D20" i="12"/>
  <c r="D35" i="12"/>
  <c r="D51" i="12" s="1"/>
  <c r="D74" i="3"/>
  <c r="L26" i="8"/>
  <c r="A84" i="1" l="1"/>
  <c r="A85" i="1" s="1"/>
  <c r="D196" i="1"/>
  <c r="D36" i="12"/>
  <c r="D52" i="12" s="1"/>
  <c r="D21" i="12"/>
  <c r="D37" i="12" s="1"/>
  <c r="D53" i="12" s="1"/>
  <c r="E15" i="11"/>
  <c r="E17" i="11" s="1"/>
  <c r="E15" i="10"/>
  <c r="E17" i="10" s="1"/>
  <c r="G28" i="6"/>
  <c r="I28" i="6" s="1"/>
  <c r="H146" i="1"/>
  <c r="J146" i="1" s="1"/>
  <c r="H82" i="1"/>
  <c r="J82" i="1" s="1"/>
  <c r="H81" i="1"/>
  <c r="J81" i="1" s="1"/>
  <c r="J87" i="1" s="1"/>
  <c r="J97" i="1" s="1"/>
  <c r="E29" i="8"/>
  <c r="I28" i="8"/>
  <c r="G31" i="8"/>
  <c r="A78" i="3"/>
  <c r="A79" i="3" s="1"/>
  <c r="A80" i="3" s="1"/>
  <c r="A81" i="3" s="1"/>
  <c r="A82" i="3" s="1"/>
  <c r="A83" i="3" s="1"/>
  <c r="A84" i="3" s="1"/>
  <c r="A85" i="3" s="1"/>
  <c r="A86" i="3" s="1"/>
  <c r="A87" i="3" s="1"/>
  <c r="A88" i="3" s="1"/>
  <c r="A89" i="3" s="1"/>
  <c r="A90" i="3" s="1"/>
  <c r="D90" i="3"/>
  <c r="E30" i="8" l="1"/>
  <c r="I29" i="8"/>
  <c r="L29" i="8" s="1"/>
  <c r="G17" i="10"/>
  <c r="G32" i="8"/>
  <c r="J151" i="1"/>
  <c r="J8" i="6"/>
  <c r="J17" i="6" s="1"/>
  <c r="A92" i="3"/>
  <c r="A93" i="3" s="1"/>
  <c r="E18" i="10"/>
  <c r="G18" i="10" s="1"/>
  <c r="G17" i="11"/>
  <c r="L28" i="8"/>
  <c r="D198" i="1"/>
  <c r="A86" i="1"/>
  <c r="J34" i="6" l="1"/>
  <c r="J145" i="1"/>
  <c r="J148" i="1" s="1"/>
  <c r="G36" i="8"/>
  <c r="G39" i="8"/>
  <c r="A94" i="3"/>
  <c r="A95" i="3" s="1"/>
  <c r="A96" i="3" s="1"/>
  <c r="A97" i="3" s="1"/>
  <c r="A98" i="3" s="1"/>
  <c r="A99" i="3" s="1"/>
  <c r="A100" i="3" s="1"/>
  <c r="A101" i="3" s="1"/>
  <c r="A102" i="3" s="1"/>
  <c r="A103" i="3" s="1"/>
  <c r="A104" i="3" s="1"/>
  <c r="A105" i="3" s="1"/>
  <c r="A106" i="3" s="1"/>
  <c r="E19" i="10"/>
  <c r="G19" i="10" s="1"/>
  <c r="I27" i="6"/>
  <c r="J29" i="6" s="1"/>
  <c r="J32" i="6" s="1"/>
  <c r="D27" i="6"/>
  <c r="D29" i="6" s="1"/>
  <c r="A87" i="1"/>
  <c r="D197" i="1"/>
  <c r="C87" i="1"/>
  <c r="E31" i="8"/>
  <c r="I30" i="8"/>
  <c r="L30" i="8" s="1"/>
  <c r="A89" i="1" l="1"/>
  <c r="A91" i="1" s="1"/>
  <c r="A92" i="1" s="1"/>
  <c r="G40" i="8"/>
  <c r="A108" i="3"/>
  <c r="A5" i="4" s="1"/>
  <c r="A7" i="4" s="1"/>
  <c r="A9" i="4" s="1"/>
  <c r="A11" i="4" s="1"/>
  <c r="A13" i="4" s="1"/>
  <c r="D108" i="3"/>
  <c r="D106" i="3"/>
  <c r="E32" i="8"/>
  <c r="I32" i="8" s="1"/>
  <c r="I31" i="8"/>
  <c r="L31" i="8" s="1"/>
  <c r="J35" i="6"/>
  <c r="J36" i="6" s="1"/>
  <c r="J37" i="6" s="1"/>
  <c r="J39" i="6" s="1"/>
  <c r="L11" i="7" s="1"/>
  <c r="J153" i="1"/>
  <c r="F30" i="7" l="1"/>
  <c r="K30" i="7" s="1"/>
  <c r="F26" i="7"/>
  <c r="K26" i="7" s="1"/>
  <c r="F28" i="7"/>
  <c r="K28" i="7" s="1"/>
  <c r="F27" i="7"/>
  <c r="K27" i="7" s="1"/>
  <c r="F25" i="7"/>
  <c r="K25" i="7" s="1"/>
  <c r="F29" i="7"/>
  <c r="K29" i="7" s="1"/>
  <c r="G41" i="8"/>
  <c r="A14" i="4"/>
  <c r="A15" i="4" s="1"/>
  <c r="A16" i="4" s="1"/>
  <c r="A17" i="4" s="1"/>
  <c r="A18" i="4" s="1"/>
  <c r="A19" i="4" s="1"/>
  <c r="A20" i="4" s="1"/>
  <c r="A21" i="4" s="1"/>
  <c r="A22" i="4" s="1"/>
  <c r="A23" i="4" s="1"/>
  <c r="A24" i="4" s="1"/>
  <c r="A25" i="4" s="1"/>
  <c r="A26" i="4" s="1"/>
  <c r="A30" i="4" s="1"/>
  <c r="A31" i="4" s="1"/>
  <c r="L32" i="8"/>
  <c r="L33" i="8" s="1"/>
  <c r="E36" i="8" s="1"/>
  <c r="I33" i="8"/>
  <c r="L6" i="7"/>
  <c r="L8" i="7" s="1"/>
  <c r="L10" i="7" s="1"/>
  <c r="A93" i="1"/>
  <c r="A94" i="1" s="1"/>
  <c r="A95" i="1" s="1"/>
  <c r="A97" i="1" s="1"/>
  <c r="N25" i="7" l="1"/>
  <c r="L25" i="7"/>
  <c r="A109" i="1"/>
  <c r="A110" i="1" s="1"/>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N29" i="7"/>
  <c r="L29" i="7"/>
  <c r="L27" i="7"/>
  <c r="N27" i="7"/>
  <c r="C97" i="1"/>
  <c r="L26" i="7"/>
  <c r="N26" i="7"/>
  <c r="G42" i="8"/>
  <c r="C95" i="1"/>
  <c r="I36" i="8"/>
  <c r="L36" i="8" s="1"/>
  <c r="E24" i="7"/>
  <c r="E22" i="7"/>
  <c r="L28" i="7"/>
  <c r="N28" i="7"/>
  <c r="D26" i="4"/>
  <c r="L30" i="7"/>
  <c r="N30" i="7"/>
  <c r="E39" i="8" l="1"/>
  <c r="J39" i="8"/>
  <c r="E23" i="7"/>
  <c r="J22" i="7"/>
  <c r="F22" i="7"/>
  <c r="K22" i="7" s="1"/>
  <c r="J24" i="7"/>
  <c r="F24" i="7"/>
  <c r="K24" i="7" s="1"/>
  <c r="A159" i="4"/>
  <c r="A160" i="4" s="1"/>
  <c r="A161" i="4" s="1"/>
  <c r="A162" i="4" s="1"/>
  <c r="A163" i="4" s="1"/>
  <c r="A164" i="4" s="1"/>
  <c r="A165" i="4" s="1"/>
  <c r="A167" i="4" s="1"/>
  <c r="A10" i="5" s="1"/>
  <c r="A11" i="5" s="1"/>
  <c r="C165" i="4"/>
  <c r="A111" i="1"/>
  <c r="A114" i="1" s="1"/>
  <c r="A115" i="1" s="1"/>
  <c r="A116" i="1" s="1"/>
  <c r="A117" i="1" s="1"/>
  <c r="A118" i="1" s="1"/>
  <c r="G43" i="8"/>
  <c r="D44" i="4"/>
  <c r="A120" i="1" l="1"/>
  <c r="A121" i="1" s="1"/>
  <c r="N24" i="7"/>
  <c r="L24" i="7"/>
  <c r="C118" i="1"/>
  <c r="A12" i="5"/>
  <c r="A13" i="5" s="1"/>
  <c r="A14" i="5" s="1"/>
  <c r="A15" i="5" s="1"/>
  <c r="N22" i="7"/>
  <c r="L22" i="7"/>
  <c r="K31" i="7"/>
  <c r="N31" i="7" s="1"/>
  <c r="J31" i="7"/>
  <c r="J23" i="7"/>
  <c r="F23" i="7"/>
  <c r="K23" i="7" s="1"/>
  <c r="J40" i="8"/>
  <c r="J41" i="8" s="1"/>
  <c r="J42" i="8" s="1"/>
  <c r="J43" i="8" s="1"/>
  <c r="J44" i="8" s="1"/>
  <c r="J45" i="8" s="1"/>
  <c r="J46" i="8" s="1"/>
  <c r="J47" i="8" s="1"/>
  <c r="J48" i="8" s="1"/>
  <c r="J49" i="8" s="1"/>
  <c r="J50" i="8" s="1"/>
  <c r="G44" i="8"/>
  <c r="L39" i="8"/>
  <c r="E40" i="8" s="1"/>
  <c r="I39" i="8"/>
  <c r="L40" i="8" l="1"/>
  <c r="E41" i="8" s="1"/>
  <c r="I40" i="8"/>
  <c r="G45" i="8"/>
  <c r="C15" i="5"/>
  <c r="J53" i="8"/>
  <c r="A16" i="5"/>
  <c r="A17" i="5" s="1"/>
  <c r="A18" i="5" s="1"/>
  <c r="A19" i="5" s="1"/>
  <c r="L23" i="7"/>
  <c r="L31" i="7" s="1"/>
  <c r="E155" i="1" s="1"/>
  <c r="N23" i="7"/>
  <c r="A122" i="1"/>
  <c r="A123" i="1" s="1"/>
  <c r="A124" i="1" s="1"/>
  <c r="J155" i="1" l="1"/>
  <c r="J157" i="1" s="1"/>
  <c r="J38" i="1" s="1"/>
  <c r="E157" i="1"/>
  <c r="G46" i="8"/>
  <c r="A20" i="5"/>
  <c r="A21" i="5" s="1"/>
  <c r="A22" i="5" s="1"/>
  <c r="A23" i="5" s="1"/>
  <c r="C124" i="1"/>
  <c r="J55" i="8"/>
  <c r="E43" i="1"/>
  <c r="J43" i="1" s="1"/>
  <c r="A126" i="1"/>
  <c r="A127" i="1" s="1"/>
  <c r="A128" i="1" s="1"/>
  <c r="L41" i="8"/>
  <c r="E42" i="8" s="1"/>
  <c r="I41" i="8"/>
  <c r="L42" i="8" l="1"/>
  <c r="E43" i="8" s="1"/>
  <c r="I42" i="8"/>
  <c r="C23" i="5"/>
  <c r="A129" i="1"/>
  <c r="A130" i="1" s="1"/>
  <c r="A131" i="1" s="1"/>
  <c r="A132" i="1" s="1"/>
  <c r="A133" i="1" s="1"/>
  <c r="A134" i="1" s="1"/>
  <c r="A24" i="5"/>
  <c r="A25" i="5" s="1"/>
  <c r="A26" i="5" s="1"/>
  <c r="A27" i="5" s="1"/>
  <c r="A28" i="5" s="1"/>
  <c r="B25" i="5"/>
  <c r="G47" i="8"/>
  <c r="J45" i="1"/>
  <c r="G48" i="8" l="1"/>
  <c r="C134" i="1"/>
  <c r="A136" i="1"/>
  <c r="A137" i="1" s="1"/>
  <c r="A29" i="5"/>
  <c r="A30" i="5" s="1"/>
  <c r="A31" i="5" s="1"/>
  <c r="A32" i="5" s="1"/>
  <c r="A33" i="5" s="1"/>
  <c r="A34" i="5" s="1"/>
  <c r="L43" i="8"/>
  <c r="E44" i="8" s="1"/>
  <c r="I43" i="8"/>
  <c r="B36" i="5" l="1"/>
  <c r="A35" i="5"/>
  <c r="A36" i="5" s="1"/>
  <c r="A37" i="5" s="1"/>
  <c r="A38" i="5" s="1"/>
  <c r="A39" i="5" s="1"/>
  <c r="C34" i="5"/>
  <c r="L44" i="8"/>
  <c r="E45" i="8" s="1"/>
  <c r="I44" i="8"/>
  <c r="C141" i="1"/>
  <c r="A138" i="1"/>
  <c r="G49" i="8"/>
  <c r="G50" i="8" l="1"/>
  <c r="L45" i="8"/>
  <c r="E46" i="8" s="1"/>
  <c r="I45" i="8"/>
  <c r="A40" i="5"/>
  <c r="A41" i="5" s="1"/>
  <c r="B41" i="5"/>
  <c r="A139" i="1"/>
  <c r="A140" i="1" s="1"/>
  <c r="A141" i="1" s="1"/>
  <c r="A142" i="1" l="1"/>
  <c r="A145" i="1" s="1"/>
  <c r="L46" i="8"/>
  <c r="E47" i="8" s="1"/>
  <c r="I46" i="8"/>
  <c r="A146" i="1" l="1"/>
  <c r="A148" i="1" s="1"/>
  <c r="D148" i="1"/>
  <c r="C146" i="1"/>
  <c r="L47" i="8"/>
  <c r="E48" i="8" s="1"/>
  <c r="I47" i="8"/>
  <c r="L48" i="8" l="1"/>
  <c r="E49" i="8" s="1"/>
  <c r="I48" i="8"/>
  <c r="B35" i="6"/>
  <c r="A150" i="1"/>
  <c r="A151" i="1" s="1"/>
  <c r="C153" i="1" s="1"/>
  <c r="A153" i="1" l="1"/>
  <c r="B34" i="6"/>
  <c r="C145" i="1"/>
  <c r="L49" i="8"/>
  <c r="E50" i="8" s="1"/>
  <c r="I49" i="8"/>
  <c r="L50" i="8" l="1"/>
  <c r="I50" i="8"/>
  <c r="I51" i="8" s="1"/>
  <c r="A155" i="1"/>
  <c r="A157" i="1" s="1"/>
  <c r="C157" i="1" l="1"/>
  <c r="A170" i="1"/>
  <c r="A172" i="1" s="1"/>
  <c r="D38" i="1"/>
  <c r="A173" i="1" l="1"/>
  <c r="A174" i="1" s="1"/>
  <c r="A175" i="1" s="1"/>
  <c r="A177" i="1" l="1"/>
  <c r="A179" i="1" s="1"/>
  <c r="A180" i="1" s="1"/>
  <c r="A181" i="1" s="1"/>
  <c r="C177" i="1"/>
  <c r="C175" i="1"/>
  <c r="A182" i="1" l="1"/>
  <c r="A183" i="1" s="1"/>
  <c r="A185" i="1" s="1"/>
  <c r="A187" i="1" s="1"/>
  <c r="A188" i="1" l="1"/>
  <c r="A189" i="1" s="1"/>
  <c r="A190" i="1" s="1"/>
  <c r="C190" i="1"/>
  <c r="C139" i="1"/>
  <c r="C183" i="1"/>
  <c r="A195" i="1" l="1"/>
  <c r="A196" i="1" s="1"/>
  <c r="A197" i="1" s="1"/>
  <c r="A198" i="1" s="1"/>
  <c r="A199" i="1" s="1"/>
  <c r="C151" i="1"/>
  <c r="E38" i="6" l="1"/>
  <c r="G9" i="7"/>
</calcChain>
</file>

<file path=xl/sharedStrings.xml><?xml version="1.0" encoding="utf-8"?>
<sst xmlns="http://schemas.openxmlformats.org/spreadsheetml/2006/main" count="2352" uniqueCount="1011">
  <si>
    <t>Appendix III</t>
  </si>
  <si>
    <t>Page 1 of 5</t>
  </si>
  <si>
    <r>
      <t>Rate Formula Template</t>
    </r>
    <r>
      <rPr>
        <strike/>
        <sz val="12"/>
        <color indexed="10"/>
        <rFont val="Arial Narrow"/>
        <family val="2"/>
      </rPr>
      <t xml:space="preserve"> </t>
    </r>
  </si>
  <si>
    <t xml:space="preserve"> </t>
  </si>
  <si>
    <t xml:space="preserve"> Utilizing FERC Form 1 Data</t>
  </si>
  <si>
    <t>Projected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</si>
  <si>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</si>
  <si>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</si>
  <si>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</si>
  <si>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</si>
  <si>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</si>
  <si>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</si>
  <si>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</si>
  <si>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</si>
  <si>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</si>
  <si>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</si>
  <si>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</si>
  <si>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</si>
  <si>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</si>
  <si>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</si>
  <si>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</si>
  <si>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</si>
  <si>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</si>
  <si>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</si>
  <si>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</si>
  <si>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</si>
  <si>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</si>
  <si>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</si>
  <si>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</si>
  <si>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</si>
  <si>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</si>
  <si>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</si>
  <si>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</si>
  <si>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</si>
  <si>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</si>
  <si>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</si>
  <si>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</si>
  <si>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</si>
  <si>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</si>
  <si>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</si>
  <si>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</si>
  <si>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</si>
  <si>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</si>
  <si>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</si>
  <si>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</si>
  <si>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</si>
  <si>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</si>
  <si>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</si>
  <si>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</si>
  <si>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</si>
  <si>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</si>
  <si>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</si>
  <si>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</si>
  <si>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</si>
  <si>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</si>
  <si>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</si>
  <si>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</si>
  <si>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</si>
  <si>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</si>
  <si>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</si>
  <si>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</si>
  <si>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</si>
  <si>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</si>
  <si>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</si>
  <si>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</si>
  <si>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</si>
  <si>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</si>
  <si>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</si>
  <si>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</si>
  <si>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</si>
  <si>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</si>
  <si>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</si>
  <si>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</si>
  <si>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</si>
  <si>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</si>
  <si>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</si>
  <si>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</si>
  <si>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</si>
  <si>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</si>
  <si>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</si>
  <si>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</si>
  <si>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</si>
  <si>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6a,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</si>
  <si>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</si>
  <si>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</si>
  <si>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</si>
  <si>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</si>
  <si>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</si>
  <si>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</si>
  <si>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</si>
  <si>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</si>
  <si>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</si>
  <si>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</si>
  <si>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</si>
  <si>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</si>
  <si>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</si>
  <si>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</si>
  <si>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</si>
  <si>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</si>
  <si>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</si>
  <si>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</si>
  <si>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</si>
  <si>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</si>
  <si>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</si>
  <si>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</si>
  <si>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</si>
  <si>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</si>
  <si>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</si>
  <si>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321.85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</si>
  <si>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</si>
  <si>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</si>
  <si>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</si>
  <si>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</si>
  <si>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</si>
  <si>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</si>
  <si>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</si>
  <si>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</si>
  <si>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</si>
  <si>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</si>
  <si>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</si>
  <si>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</si>
  <si>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</si>
  <si>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</si>
  <si>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</si>
  <si>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</si>
  <si>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</si>
  <si>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</si>
  <si>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</si>
  <si>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</si>
  <si>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</si>
  <si>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</si>
  <si>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</si>
  <si>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</si>
  <si>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</si>
  <si>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</si>
  <si>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</si>
  <si>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</si>
  <si>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</si>
  <si>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</si>
  <si>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</si>
  <si>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</si>
  <si>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</si>
  <si>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</si>
  <si>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</si>
  <si>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</si>
  <si>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</si>
  <si>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</si>
  <si>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</si>
  <si>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</si>
  <si>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</si>
  <si>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</si>
  <si>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</si>
  <si>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</si>
  <si>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</si>
  <si>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</si>
  <si>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</si>
  <si>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</si>
  <si>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</si>
  <si>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</si>
  <si>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</si>
  <si>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</si>
  <si>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</si>
  <si>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</si>
  <si>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</si>
  <si>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</si>
  <si>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</si>
  <si>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</si>
  <si>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</si>
  <si>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</si>
  <si>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</si>
  <si>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</si>
  <si>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</si>
  <si>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</si>
  <si>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</si>
  <si>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</si>
  <si>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</si>
  <si>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</si>
  <si>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</si>
  <si>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</si>
  <si>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</si>
  <si>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</si>
  <si>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</si>
  <si>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</si>
  <si>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</si>
  <si>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</si>
  <si>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</si>
  <si>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</si>
  <si>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</si>
  <si>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</si>
  <si>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</si>
  <si>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</si>
  <si>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</si>
  <si>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</si>
  <si>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</si>
  <si>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</si>
  <si>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</si>
  <si>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</si>
  <si>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</si>
  <si>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</si>
  <si>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</si>
  <si>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</si>
  <si>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</si>
  <si>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</si>
  <si>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</si>
  <si>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</si>
  <si>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</si>
  <si>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</si>
  <si>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</si>
  <si>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</si>
  <si>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</si>
  <si>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</si>
  <si>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</si>
  <si>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</si>
  <si>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</si>
  <si>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</si>
  <si>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</si>
  <si>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</si>
  <si>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</si>
  <si>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</si>
  <si>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</si>
  <si>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</si>
  <si>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</si>
  <si>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</si>
  <si>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</si>
  <si>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</si>
  <si>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</si>
  <si>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</si>
  <si>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</si>
  <si>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</si>
  <si>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</si>
  <si>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</si>
  <si>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</si>
  <si>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</si>
  <si>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</si>
  <si>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</si>
  <si>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</si>
  <si>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</si>
  <si>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</si>
  <si>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</si>
  <si>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</si>
  <si>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</si>
  <si>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</si>
  <si>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</si>
  <si>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</si>
  <si>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</si>
  <si>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</si>
  <si>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</si>
  <si>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</si>
  <si>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</si>
  <si>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</si>
  <si>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</si>
  <si>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</si>
  <si>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</si>
  <si>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</si>
  <si>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</si>
  <si>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</si>
  <si>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</si>
  <si>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</si>
  <si>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</si>
  <si>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</si>
  <si>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</si>
  <si>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</si>
  <si>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</si>
  <si>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</si>
  <si>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</si>
  <si>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</si>
  <si>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</si>
  <si>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</si>
  <si>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</si>
  <si>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</si>
  <si>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</si>
  <si>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</si>
  <si>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</si>
  <si>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</si>
  <si>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</si>
  <si>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</si>
  <si>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</si>
  <si>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</si>
  <si>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</si>
  <si>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</si>
  <si>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</si>
  <si>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</si>
  <si>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</si>
  <si>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</si>
  <si>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</si>
  <si>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</si>
  <si>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</si>
  <si>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</si>
  <si>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</si>
  <si>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</si>
  <si>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</si>
  <si>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</si>
  <si>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</si>
  <si>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</si>
  <si>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</si>
  <si>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</si>
  <si>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</si>
  <si>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</si>
  <si>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</si>
  <si>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</si>
  <si>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</si>
  <si>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</si>
  <si>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</si>
  <si>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</si>
  <si>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</si>
  <si>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</si>
  <si>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</si>
  <si>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</si>
  <si>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</si>
  <si>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</si>
  <si>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</si>
  <si>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</si>
  <si>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</si>
  <si>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</si>
  <si>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</si>
  <si>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</si>
  <si>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</si>
  <si>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</si>
  <si>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</si>
  <si>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</si>
  <si>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</si>
  <si>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</si>
  <si>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</si>
  <si>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</si>
  <si>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</si>
  <si>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</si>
  <si>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</si>
  <si>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</si>
  <si>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</si>
  <si>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</si>
  <si>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</si>
  <si>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</si>
  <si>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</si>
  <si>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</si>
  <si>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</si>
  <si>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</si>
  <si>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</si>
  <si>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</si>
  <si>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</si>
  <si>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</si>
  <si>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</si>
  <si>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</si>
  <si>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</si>
  <si>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</si>
  <si>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</si>
  <si>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</si>
  <si>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</si>
  <si>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</si>
  <si>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</si>
  <si>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</si>
  <si>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</si>
  <si>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</si>
  <si>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</si>
  <si>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</si>
  <si>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</si>
  <si>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</si>
  <si>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</si>
  <si>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</si>
  <si>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</si>
  <si>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</si>
  <si>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</si>
  <si>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</si>
  <si>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</si>
  <si>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</si>
  <si>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</si>
  <si>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</si>
  <si>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</si>
  <si>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</si>
  <si>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</si>
  <si>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</si>
  <si>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</si>
  <si>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</si>
  <si>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</si>
  <si>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</si>
  <si>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</si>
  <si>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</si>
  <si>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</si>
  <si>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</si>
  <si>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</si>
  <si>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</si>
  <si>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</si>
  <si>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</si>
  <si>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</si>
  <si>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</si>
  <si>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</si>
  <si>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</si>
  <si>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</si>
  <si>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</si>
  <si>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</si>
  <si>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</si>
  <si>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</si>
  <si>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</si>
  <si>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</si>
  <si>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</si>
  <si>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</si>
  <si>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</si>
  <si>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</si>
  <si>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</si>
  <si>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</si>
  <si>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</si>
  <si>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</si>
  <si>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</si>
  <si>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</si>
  <si>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</si>
  <si>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</si>
  <si>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</si>
  <si>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</si>
  <si>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</si>
  <si>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</si>
  <si>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</si>
  <si>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</si>
  <si>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</si>
  <si>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</si>
  <si>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</si>
  <si>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</si>
  <si>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</si>
  <si>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</si>
  <si>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</si>
  <si>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</si>
  <si>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</si>
  <si>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</si>
  <si>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</si>
  <si>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</si>
  <si>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</si>
  <si>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</si>
  <si>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</si>
  <si>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</si>
  <si>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</si>
  <si>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</si>
  <si>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</si>
  <si>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</si>
  <si>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</si>
  <si>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</si>
  <si>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</si>
  <si>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</si>
  <si>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</si>
  <si>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</si>
  <si>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</si>
  <si>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</si>
  <si>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</si>
  <si>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</si>
  <si>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</si>
  <si>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</si>
  <si>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</si>
  <si>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</si>
  <si>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</si>
  <si>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</si>
  <si>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</si>
  <si>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</si>
  <si>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</si>
  <si>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</si>
  <si>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</si>
  <si>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</si>
  <si>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</si>
  <si>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</si>
  <si>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</si>
  <si>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</si>
  <si>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</si>
  <si>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</si>
  <si>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</si>
  <si>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</si>
  <si>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</si>
  <si>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</si>
  <si>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</si>
  <si>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</si>
  <si>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</si>
  <si>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</si>
  <si>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</si>
  <si>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</si>
  <si>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</si>
  <si>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</si>
  <si>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</si>
  <si>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</si>
  <si>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</si>
  <si>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</si>
  <si>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</si>
  <si>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</si>
  <si>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</si>
  <si>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</si>
  <si>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</si>
  <si>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</si>
  <si>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</si>
  <si>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</si>
  <si>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</si>
  <si>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</si>
  <si>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</si>
  <si>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</si>
  <si>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</si>
  <si>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</si>
  <si>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</si>
  <si>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</si>
  <si>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</si>
  <si>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</si>
  <si>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</si>
  <si>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</si>
  <si>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</si>
  <si>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</si>
  <si>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</si>
  <si>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</si>
  <si>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</si>
  <si>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</si>
  <si>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</si>
  <si>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</si>
  <si>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</si>
  <si>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</si>
  <si>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</si>
  <si>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</si>
  <si>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</si>
  <si>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</si>
  <si>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</si>
  <si>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</si>
  <si>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</si>
  <si>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</si>
  <si>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</si>
  <si>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</si>
  <si>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</si>
  <si>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</si>
  <si>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</si>
  <si>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</si>
  <si>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</si>
  <si>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</si>
  <si>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</si>
  <si>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</si>
  <si>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</si>
  <si>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</si>
  <si>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</si>
  <si>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</si>
  <si>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</si>
  <si>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</si>
  <si>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</si>
  <si>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</si>
  <si>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</si>
  <si>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</si>
  <si>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</si>
  <si>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</si>
  <si>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</si>
  <si>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</si>
  <si>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</si>
  <si>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</si>
  <si>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</si>
  <si>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</si>
  <si>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</si>
  <si>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</si>
  <si>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</si>
  <si>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</si>
  <si>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</si>
  <si>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</si>
  <si>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</si>
  <si>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</si>
  <si>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</si>
  <si>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</si>
  <si>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</si>
  <si>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</si>
  <si>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</si>
  <si>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</si>
  <si>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</si>
  <si>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</si>
  <si>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</si>
  <si>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</si>
  <si>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</si>
  <si>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</si>
  <si>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</si>
  <si>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</si>
  <si>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</si>
  <si>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</si>
  <si>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</si>
  <si>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</si>
  <si>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</si>
  <si>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</si>
  <si>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</si>
  <si>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</si>
  <si>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</si>
  <si>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</si>
  <si>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</si>
  <si>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</si>
  <si>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</si>
  <si>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</si>
  <si>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</si>
  <si>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</si>
  <si>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</si>
  <si>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</si>
  <si>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</si>
  <si>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</si>
  <si>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</si>
  <si>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</si>
  <si>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</si>
  <si>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</si>
  <si>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</si>
  <si>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</si>
  <si>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</si>
  <si>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</si>
  <si>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</si>
  <si>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</si>
  <si>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</si>
  <si>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</si>
  <si>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</si>
  <si>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</si>
  <si>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</si>
  <si>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</si>
  <si>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</si>
  <si>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</si>
  <si>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</si>
  <si>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</si>
  <si>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</si>
  <si>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</si>
  <si>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</si>
  <si>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</si>
  <si>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</si>
  <si>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</si>
  <si>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</si>
  <si>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</si>
  <si>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</si>
  <si>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</si>
  <si>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</si>
  <si>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</si>
  <si>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</si>
  <si>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</si>
  <si>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</si>
  <si>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</si>
  <si>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</si>
  <si>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</si>
  <si>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</si>
  <si>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</si>
  <si>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</si>
  <si>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</si>
  <si>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</si>
  <si>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</si>
  <si>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</si>
  <si>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</si>
  <si>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</si>
  <si>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</si>
  <si>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</si>
  <si>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</si>
  <si>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</si>
  <si>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</si>
  <si>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</si>
  <si>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</si>
  <si>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</si>
  <si>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</si>
  <si>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</si>
  <si>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</si>
  <si>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</si>
  <si>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</si>
  <si>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</si>
  <si>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</si>
  <si>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</si>
  <si>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</si>
  <si>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</si>
  <si>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</si>
  <si>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</si>
  <si>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</si>
  <si>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</si>
  <si>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</si>
  <si>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</si>
  <si>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</si>
  <si>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</si>
  <si>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</si>
  <si>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</si>
  <si>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</si>
  <si>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</si>
  <si>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</si>
  <si>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</si>
  <si>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</si>
  <si>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</si>
  <si>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</si>
  <si>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</si>
  <si>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</si>
  <si>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</si>
  <si>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</si>
  <si>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</si>
  <si>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</si>
  <si>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</si>
  <si>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</si>
  <si>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</si>
  <si>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</si>
  <si>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</si>
  <si>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</si>
  <si>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</si>
  <si>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</si>
  <si>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</si>
  <si>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</si>
  <si>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</si>
  <si>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</si>
  <si>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</si>
  <si>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</si>
  <si>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</si>
  <si>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</si>
  <si>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</si>
  <si>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</si>
  <si>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</si>
  <si>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</si>
  <si>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</si>
  <si>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</si>
  <si>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</si>
  <si>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</si>
  <si>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</si>
  <si>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</si>
  <si>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</si>
  <si>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</si>
  <si>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</si>
  <si>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</si>
  <si>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</si>
  <si>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</si>
  <si>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</si>
  <si>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</si>
  <si>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</si>
  <si>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</si>
  <si>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</si>
  <si>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</si>
  <si>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</si>
  <si>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</si>
  <si>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</si>
  <si>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</si>
  <si>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</si>
  <si>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</si>
  <si>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</si>
  <si>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</si>
  <si>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</si>
  <si>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</si>
  <si>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</si>
  <si>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</si>
  <si>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</si>
  <si>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</si>
  <si>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</si>
  <si>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</si>
  <si>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</si>
  <si>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</si>
  <si>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</si>
  <si>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</si>
  <si>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</si>
  <si>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</si>
  <si>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6a - Accumulated Deferred Income Taxes (ADIT) Worksheet (Beginning of Year)</t>
  </si>
  <si>
    <t xml:space="preserve">Plant </t>
  </si>
  <si>
    <t>Labor</t>
  </si>
  <si>
    <t>Related</t>
  </si>
  <si>
    <t>(Sum Cols B, C, &amp; D)</t>
  </si>
  <si>
    <t>ADIT- 282 (enter negative)</t>
  </si>
  <si>
    <t>From Acct. 282 total, below</t>
  </si>
  <si>
    <t>ADIT-283  (enter negative)</t>
  </si>
  <si>
    <t>From Acct. 283 total, below</t>
  </si>
  <si>
    <t>From Acct. 190 total, below</t>
  </si>
  <si>
    <t>Subtotal  (Sum lines 1-3 for each column)</t>
  </si>
  <si>
    <t>Wages &amp; Salary Allocator</t>
  </si>
  <si>
    <t>Appendix III, line 78</t>
  </si>
  <si>
    <t>NP Allocator</t>
  </si>
  <si>
    <t>100% Allocator</t>
  </si>
  <si>
    <t>Beginning of Year  (line 4 * allocator in lines 5, 6 &amp; 6a)</t>
  </si>
  <si>
    <t>Average of Beginning of Year and End of Year ((line 7 + line 8)/2)</t>
  </si>
  <si>
    <t>In filling out this attachment, a full and complete description of each item and justification for the allocation to Columns B-F and each separate ADIT item will be listed,</t>
  </si>
  <si>
    <t>dissimilar items with amounts exceeding $100,000 will be listed separately.  For ADIT directly related to project depreciation or CWIP, the balance will be shown in a separate row for each project.</t>
  </si>
  <si>
    <t>Gas, Prod</t>
  </si>
  <si>
    <t>Or Other</t>
  </si>
  <si>
    <t>Justification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</si>
  <si>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</si>
  <si>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</si>
  <si>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</si>
  <si>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</si>
  <si>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</si>
  <si>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</si>
  <si>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</si>
  <si>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</si>
  <si>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</si>
  <si>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</si>
  <si>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</si>
  <si>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Deferred Tax due to expected difference between book and tax depreciation</t>
  </si>
  <si>
    <t xml:space="preserve">Subtotal - p274.b  </t>
  </si>
  <si>
    <t>Instructions for Account 282:</t>
  </si>
  <si>
    <t>ADIT- 283</t>
  </si>
  <si>
    <t>Pre-Commercial Costs - ADIT</t>
  </si>
  <si>
    <t xml:space="preserve">Subtotal - p276.b  </t>
  </si>
  <si>
    <t>Instructions for Account 283:</t>
  </si>
  <si>
    <t>Attachment 6b - Accumulated Deferred Income Taxes (ADIT) Worksheet (End of Year)</t>
  </si>
  <si>
    <t>End of  Year ADIT    (line 4 * allocator in lines 5-6a)</t>
  </si>
  <si>
    <t>Enter in Attachment 6a Line 8</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</si>
  <si>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</si>
  <si>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</si>
  <si>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</si>
  <si>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</si>
  <si>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</si>
  <si>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</si>
  <si>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</si>
  <si>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</si>
  <si>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</si>
  <si>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</si>
  <si>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</si>
  <si>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</si>
  <si>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</si>
  <si>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</si>
  <si>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</si>
  <si>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</si>
  <si>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</si>
  <si>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</si>
  <si>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</si>
  <si>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</si>
  <si>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</si>
  <si>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</si>
  <si>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</si>
  <si>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</si>
  <si>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</si>
  <si>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</si>
  <si>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</si>
  <si>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</si>
  <si>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</si>
  <si>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</si>
  <si>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</si>
  <si>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</si>
  <si>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</si>
  <si>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</si>
  <si>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</si>
  <si>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</si>
  <si>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Amount subject to Proration</t>
  </si>
  <si>
    <t xml:space="preserve">Subtotal - p274.b </t>
  </si>
  <si>
    <t>Attachment 6d - Accumulated Deferred Income Taxes (ADIT) Worksheet (End of Year)</t>
  </si>
  <si>
    <t>Total Property Related</t>
  </si>
  <si>
    <t xml:space="preserve">Subtotal - p275.k </t>
  </si>
  <si>
    <t>Depreciation Items</t>
  </si>
  <si>
    <t xml:space="preserve">Subtotal - p277.k  </t>
  </si>
  <si>
    <t>Attachment 6e - Accumulated Deferred Income Taxes (ADIT) Average Worksheet (True-Up)</t>
  </si>
  <si>
    <t>Total Plant &amp; Labor Related</t>
  </si>
  <si>
    <t>Line 14</t>
  </si>
  <si>
    <t>Line 17</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</si>
  <si>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</si>
  <si>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</si>
  <si>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</si>
  <si>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</si>
  <si>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</si>
  <si>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</si>
  <si>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</si>
  <si>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</si>
  <si>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</si>
  <si>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</si>
  <si>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</si>
  <si>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</si>
  <si>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</si>
  <si>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</si>
  <si>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</si>
  <si>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</si>
  <si>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</si>
  <si>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</si>
  <si>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</si>
  <si>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</si>
  <si>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</si>
  <si>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</si>
  <si>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</si>
  <si>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</si>
  <si>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</si>
  <si>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</si>
  <si>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</si>
  <si>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</si>
  <si>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</si>
  <si>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</si>
  <si>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</si>
  <si>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</si>
  <si>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</si>
  <si>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</si>
  <si>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</si>
  <si>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</si>
  <si>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</si>
  <si>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</si>
  <si>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</si>
  <si>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</si>
  <si>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</si>
  <si>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</si>
  <si>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</si>
  <si>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</si>
  <si>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</si>
  <si>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</si>
  <si>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</si>
  <si>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</si>
  <si>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</si>
  <si>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</si>
  <si>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</si>
  <si>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</si>
  <si>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</si>
  <si>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</si>
  <si>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</si>
  <si>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</si>
  <si>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</si>
  <si>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</si>
  <si>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</si>
  <si>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</si>
  <si>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</si>
  <si>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</si>
  <si>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</si>
  <si>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</si>
  <si>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</si>
  <si>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</si>
  <si>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</si>
  <si>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</si>
  <si>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</si>
  <si>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</si>
  <si>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</si>
  <si>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</si>
  <si>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</si>
  <si>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</si>
  <si>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</si>
  <si>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</si>
  <si>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</si>
  <si>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</si>
  <si>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 xml:space="preserve">North Gila- Imperial Valley #2 500 kV Line Project </t>
  </si>
  <si>
    <t>ER24-2001-000</t>
  </si>
  <si>
    <t xml:space="preserve">Imperial Valley – North of North of San Onofre Nuclear Generating Station (SONGS) 500 kV Line and 500/230 kV Substation Project </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</si>
  <si>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</si>
  <si>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</si>
  <si>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</si>
  <si>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</si>
  <si>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</si>
  <si>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</si>
  <si>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</si>
  <si>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</si>
  <si>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</si>
  <si>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</si>
  <si>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</si>
  <si>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</si>
  <si>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</si>
  <si>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</si>
  <si>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</si>
  <si>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</si>
  <si>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</si>
  <si>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</si>
  <si>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</si>
  <si>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</si>
  <si>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</si>
  <si>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</si>
  <si>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</si>
  <si>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</si>
  <si>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</si>
  <si>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</si>
  <si>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</si>
  <si>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</si>
  <si>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</si>
  <si>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</si>
  <si>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</si>
  <si>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</si>
  <si>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</si>
  <si>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</si>
  <si>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</si>
  <si>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</si>
  <si>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</si>
  <si>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</si>
  <si>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</si>
  <si>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</si>
  <si>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</si>
  <si>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</si>
  <si>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</si>
  <si>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</si>
  <si>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</si>
  <si>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</si>
  <si>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</si>
  <si>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</si>
  <si>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</si>
  <si>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</si>
  <si>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</si>
  <si>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</si>
  <si>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</si>
  <si>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</si>
  <si>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</si>
  <si>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</si>
  <si>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</si>
  <si>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</si>
  <si>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</si>
  <si>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</si>
  <si>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</si>
  <si>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</si>
  <si>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</si>
  <si>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</si>
  <si>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Estrella</t>
  </si>
  <si>
    <t>20 acres for future substation to address reliability need identified by CAISO</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</si>
  <si>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</si>
  <si>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</si>
  <si>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</si>
  <si>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</si>
  <si>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</si>
  <si>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</si>
  <si>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</si>
  <si>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</si>
  <si>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</si>
  <si>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</si>
  <si>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</si>
  <si>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</si>
  <si>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</si>
  <si>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</si>
  <si>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</si>
  <si>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</si>
  <si>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</si>
  <si>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</si>
  <si>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</si>
  <si>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</si>
  <si>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</si>
  <si>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</si>
  <si>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</si>
  <si>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</si>
  <si>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</si>
  <si>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</si>
  <si>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</si>
  <si>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</si>
  <si>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</si>
  <si>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</si>
  <si>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</si>
  <si>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</si>
  <si>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</si>
  <si>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</si>
  <si>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</si>
  <si>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</si>
  <si>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 (Note T)</t>
  </si>
  <si>
    <t>Tax Adjustment for AFUDC - Equity Depreciation</t>
  </si>
  <si>
    <t>Tax Adjustment for Equity Carrying Charges Amortization</t>
  </si>
  <si>
    <t>Tax Adjustment for Section 162 (M)</t>
  </si>
  <si>
    <t>1d</t>
  </si>
  <si>
    <t>Tax Adjustment for Meals &amp; Entertainment</t>
  </si>
  <si>
    <t>For the 12 months ended 12/31/2025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</si>
</sst>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 #,##0.0_);_(* \(#,##0.0\);_(* &quot;-&quot;??_);_(@_)"/>
    <numFmt numFmtId="179" formatCode="_(&quot;$&quot;* #,##0_);_(&quot;$&quot;* \(#,##0\);_(&quot;$&quot;* &quot;-&quot;??_);_(@_)"/>
  </numFmts>
  <fonts count="47">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2"/>
      <color rgb="FF000000"/>
      <name val="Arial Narrow"/>
      <family val="2"/>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3">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CC"/>
        <bgColor indexed="64"/>
      </patternFill>
    </fill>
    <fill>
      <patternFill patternType="solid">
        <fgColor indexed="13"/>
        <bgColor indexed="64"/>
      </patternFill>
    </fill>
    <fill>
      <patternFill patternType="solid">
        <fgColor rgb="FFFFFF99"/>
        <bgColor rgb="FF000000"/>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rgb="FFC0C0C0"/>
      </left>
      <right style="medium">
        <color rgb="FF000000"/>
      </right>
      <top/>
      <bottom/>
      <diagonal/>
    </border>
    <border>
      <left style="thin">
        <color indexed="22"/>
      </left>
      <right style="thin">
        <color indexed="22"/>
      </right>
      <top/>
      <bottom style="thin">
        <color indexed="22"/>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0">
    <xf numFmtId="164" fontId="0" fillId="0" borderId="0" xfId="0"/>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applyFont="1" applyFill="1" applyProtection="1">
      <protection locked="0"/>
    </xf>
    <xf numFmtId="0" fontId="3" fillId="2" borderId="0" xfId="5" applyFont="1" applyFill="1"/>
    <xf numFmtId="0" fontId="3" fillId="2" borderId="0" xfId="5" applyFont="1" applyFill="1" applyAlignment="1">
      <alignment horizontal="right"/>
    </xf>
    <xf numFmtId="0" fontId="3" fillId="3" borderId="0" xfId="5" applyFont="1" applyFill="1" applyAlignment="1">
      <alignment horizontal="left"/>
    </xf>
    <xf numFmtId="0" fontId="3" fillId="3" borderId="0" xfId="5" applyFont="1" applyFill="1"/>
    <xf numFmtId="0" fontId="3" fillId="3" borderId="0" xfId="5" quotePrefix="1" applyFont="1" applyFill="1" applyAlignment="1" applyProtection="1">
      <alignment horizontal="right"/>
      <protection locked="0"/>
    </xf>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4"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43" fontId="2" fillId="0" borderId="0" xfId="5" applyNumberForma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65" fontId="3" fillId="2"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3" xfId="5" applyFont="1" applyBorder="1" applyAlignment="1" applyProtection="1">
      <alignment horizontal="center"/>
      <protection locked="0"/>
    </xf>
    <xf numFmtId="10" fontId="3" fillId="0" borderId="3" xfId="5" applyNumberFormat="1" applyFont="1" applyBorder="1" applyAlignment="1">
      <alignment horizontal="left"/>
    </xf>
    <xf numFmtId="0" fontId="2" fillId="0" borderId="3" xfId="5" applyBorder="1"/>
    <xf numFmtId="168"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69" fontId="3" fillId="0" borderId="0" xfId="5" applyNumberFormat="1" applyFont="1"/>
    <xf numFmtId="43" fontId="3" fillId="0" borderId="0" xfId="1" applyFont="1" applyBorder="1" applyAlignment="1"/>
    <xf numFmtId="10" fontId="3" fillId="0" borderId="0" xfId="4" applyNumberFormat="1" applyFont="1" applyBorder="1" applyAlignment="1"/>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3" borderId="0" xfId="1" applyFont="1" applyFill="1" applyAlignment="1"/>
    <xf numFmtId="43" fontId="3" fillId="0" borderId="0" xfId="1" applyFont="1" applyAlignment="1"/>
    <xf numFmtId="43" fontId="3" fillId="3"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2"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9" fontId="3" fillId="0" borderId="0" xfId="1" applyNumberFormat="1" applyFont="1" applyAlignme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3" borderId="0" xfId="1" applyNumberFormat="1" applyFont="1" applyFill="1" applyProtection="1">
      <protection locked="0"/>
    </xf>
    <xf numFmtId="168" fontId="3" fillId="0" borderId="0" xfId="4" applyNumberFormat="1" applyFont="1" applyFill="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3" borderId="0" xfId="7" applyNumberFormat="1" applyFont="1" applyFill="1" applyAlignment="1"/>
    <xf numFmtId="0" fontId="19" fillId="0" borderId="0" xfId="6" applyFont="1"/>
    <xf numFmtId="165" fontId="3" fillId="2"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2" borderId="0" xfId="1" applyFont="1" applyFill="1"/>
    <xf numFmtId="173" fontId="3" fillId="2" borderId="0" xfId="0" applyNumberFormat="1" applyFont="1" applyFill="1"/>
    <xf numFmtId="43" fontId="3" fillId="0" borderId="3" xfId="1" applyFont="1" applyBorder="1"/>
    <xf numFmtId="43" fontId="3" fillId="0" borderId="4" xfId="1" applyFont="1" applyBorder="1"/>
    <xf numFmtId="41" fontId="3" fillId="0" borderId="0" xfId="0" applyNumberFormat="1" applyFont="1"/>
    <xf numFmtId="41" fontId="3" fillId="2"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2"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8" xfId="6" applyFont="1" applyBorder="1" applyAlignment="1">
      <alignment horizontal="center"/>
    </xf>
    <xf numFmtId="0" fontId="11" fillId="0" borderId="0" xfId="6" applyFont="1" applyAlignment="1">
      <alignment horizontal="left"/>
    </xf>
    <xf numFmtId="0" fontId="3" fillId="0" borderId="9"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3" borderId="0" xfId="1" applyNumberFormat="1" applyFont="1" applyFill="1" applyBorder="1" applyAlignment="1">
      <alignment horizontal="center"/>
    </xf>
    <xf numFmtId="165" fontId="3" fillId="3" borderId="9"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3" borderId="3" xfId="1" applyNumberFormat="1" applyFont="1" applyFill="1" applyBorder="1" applyAlignment="1">
      <alignment horizontal="center"/>
    </xf>
    <xf numFmtId="165" fontId="3" fillId="3" borderId="10"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9"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9" xfId="6" applyFont="1" applyBorder="1" applyAlignment="1">
      <alignment horizontal="left"/>
    </xf>
    <xf numFmtId="165" fontId="3" fillId="0" borderId="0" xfId="1" applyNumberFormat="1" applyFont="1" applyBorder="1" applyAlignment="1">
      <alignment horizontal="center"/>
    </xf>
    <xf numFmtId="0" fontId="3" fillId="0" borderId="9"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9" xfId="7" applyNumberFormat="1" applyFont="1" applyBorder="1" applyAlignment="1">
      <alignment horizontal="right"/>
    </xf>
    <xf numFmtId="165" fontId="7" fillId="0" borderId="0" xfId="7" applyNumberFormat="1" applyFont="1" applyFill="1" applyBorder="1" applyAlignment="1">
      <alignment horizontal="right"/>
    </xf>
    <xf numFmtId="0" fontId="3" fillId="0" borderId="11"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2" xfId="6" applyFont="1" applyBorder="1" applyAlignment="1">
      <alignment horizontal="left"/>
    </xf>
    <xf numFmtId="0" fontId="23" fillId="0" borderId="8" xfId="6" applyFont="1" applyBorder="1" applyAlignment="1">
      <alignment horizontal="left"/>
    </xf>
    <xf numFmtId="3" fontId="3" fillId="0" borderId="9"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4" xfId="6" applyFont="1" applyFill="1" applyBorder="1" applyAlignment="1">
      <alignment horizontal="center" wrapText="1"/>
    </xf>
    <xf numFmtId="0" fontId="3" fillId="0" borderId="5" xfId="6" applyFont="1" applyBorder="1" applyAlignment="1">
      <alignment horizontal="center"/>
    </xf>
    <xf numFmtId="0" fontId="3" fillId="0" borderId="6" xfId="6" applyFont="1" applyBorder="1" applyAlignment="1">
      <alignment horizontal="center"/>
    </xf>
    <xf numFmtId="0" fontId="5" fillId="0" borderId="6" xfId="6" applyFont="1" applyBorder="1" applyAlignment="1">
      <alignment horizontal="left"/>
    </xf>
    <xf numFmtId="0" fontId="10" fillId="0" borderId="6" xfId="6" applyFont="1" applyBorder="1"/>
    <xf numFmtId="165" fontId="3" fillId="0" borderId="5" xfId="7" applyNumberFormat="1" applyFont="1" applyFill="1" applyBorder="1"/>
    <xf numFmtId="165" fontId="3" fillId="0" borderId="6" xfId="7" applyNumberFormat="1" applyFont="1" applyFill="1" applyBorder="1" applyAlignment="1">
      <alignment horizontal="center"/>
    </xf>
    <xf numFmtId="165" fontId="5" fillId="0" borderId="6" xfId="7" applyNumberFormat="1" applyFont="1" applyFill="1" applyBorder="1"/>
    <xf numFmtId="0" fontId="23" fillId="0" borderId="6" xfId="6" applyFont="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3" fillId="0" borderId="8" xfId="5" applyFont="1" applyBorder="1" applyAlignment="1" applyProtection="1">
      <alignment horizontal="center"/>
      <protection locked="0"/>
    </xf>
    <xf numFmtId="165" fontId="3" fillId="3" borderId="0" xfId="7" applyNumberFormat="1" applyFont="1" applyFill="1" applyBorder="1" applyAlignment="1">
      <alignment horizontal="right"/>
    </xf>
    <xf numFmtId="165" fontId="3" fillId="0" borderId="8" xfId="1" applyNumberFormat="1" applyFont="1" applyFill="1" applyBorder="1" applyAlignment="1"/>
    <xf numFmtId="170" fontId="3" fillId="0" borderId="0" xfId="5" applyNumberFormat="1" applyFont="1"/>
    <xf numFmtId="0" fontId="10" fillId="0" borderId="9" xfId="5" applyFont="1" applyBorder="1"/>
    <xf numFmtId="43" fontId="3" fillId="3" borderId="0" xfId="1" applyFont="1" applyFill="1" applyBorder="1" applyAlignment="1">
      <alignment horizontal="right"/>
    </xf>
    <xf numFmtId="43" fontId="3" fillId="0" borderId="8" xfId="1" applyFont="1" applyFill="1" applyBorder="1" applyAlignment="1"/>
    <xf numFmtId="43" fontId="3" fillId="2" borderId="0" xfId="1" applyFont="1" applyFill="1" applyBorder="1" applyAlignment="1"/>
    <xf numFmtId="0" fontId="3" fillId="0" borderId="0" xfId="6" applyFont="1" applyAlignment="1">
      <alignment horizontal="right"/>
    </xf>
    <xf numFmtId="3" fontId="3" fillId="0" borderId="8" xfId="5" applyNumberFormat="1" applyFont="1" applyBorder="1"/>
    <xf numFmtId="175" fontId="10" fillId="3" borderId="0" xfId="1" applyNumberFormat="1" applyFont="1" applyFill="1" applyBorder="1" applyAlignment="1">
      <alignment horizontal="center"/>
    </xf>
    <xf numFmtId="165" fontId="3" fillId="3" borderId="9" xfId="7" applyNumberFormat="1" applyFont="1" applyFill="1" applyBorder="1" applyAlignment="1"/>
    <xf numFmtId="175" fontId="10" fillId="3" borderId="3" xfId="1" applyNumberFormat="1" applyFont="1" applyFill="1" applyBorder="1" applyAlignment="1">
      <alignment horizontal="center"/>
    </xf>
    <xf numFmtId="165" fontId="3" fillId="3" borderId="10" xfId="7" applyNumberFormat="1" applyFont="1" applyFill="1" applyBorder="1" applyAlignment="1"/>
    <xf numFmtId="0" fontId="10" fillId="0" borderId="0" xfId="6" applyFont="1"/>
    <xf numFmtId="165" fontId="3" fillId="0" borderId="8"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9" xfId="6" applyFont="1" applyBorder="1" applyAlignment="1">
      <alignment horizontal="center" wrapText="1"/>
    </xf>
    <xf numFmtId="0" fontId="11" fillId="0" borderId="6" xfId="6" applyFont="1" applyBorder="1" applyAlignment="1">
      <alignment horizontal="left"/>
    </xf>
    <xf numFmtId="0" fontId="3" fillId="0" borderId="6" xfId="6" applyFont="1" applyBorder="1"/>
    <xf numFmtId="0" fontId="3" fillId="0" borderId="6" xfId="6" applyFont="1" applyBorder="1" applyAlignment="1">
      <alignment horizontal="right"/>
    </xf>
    <xf numFmtId="165" fontId="3" fillId="0" borderId="5" xfId="0" applyNumberFormat="1" applyFont="1" applyBorder="1" applyAlignment="1" applyProtection="1">
      <alignment horizontal="center" wrapText="1"/>
    </xf>
    <xf numFmtId="165" fontId="3" fillId="0" borderId="6" xfId="0" applyNumberFormat="1" applyFont="1" applyBorder="1" applyAlignment="1" applyProtection="1">
      <alignment horizontal="center" wrapText="1"/>
    </xf>
    <xf numFmtId="0" fontId="5" fillId="0" borderId="6" xfId="6" applyFont="1" applyBorder="1" applyAlignment="1">
      <alignment horizontal="center" wrapText="1"/>
    </xf>
    <xf numFmtId="165" fontId="3" fillId="3" borderId="0" xfId="7" applyNumberFormat="1" applyFont="1" applyFill="1" applyBorder="1" applyAlignment="1"/>
    <xf numFmtId="165" fontId="3" fillId="3" borderId="8" xfId="7" applyNumberFormat="1" applyFont="1" applyFill="1" applyBorder="1" applyAlignment="1"/>
    <xf numFmtId="41" fontId="26" fillId="0" borderId="0" xfId="0" applyNumberFormat="1" applyFont="1"/>
    <xf numFmtId="165" fontId="27" fillId="6" borderId="16" xfId="7" applyNumberFormat="1" applyFont="1" applyFill="1" applyBorder="1" applyAlignment="1"/>
    <xf numFmtId="165" fontId="7" fillId="3" borderId="0" xfId="7" applyNumberFormat="1" applyFont="1" applyFill="1" applyBorder="1" applyAlignment="1"/>
    <xf numFmtId="165" fontId="7" fillId="3" borderId="3" xfId="7" applyNumberFormat="1" applyFont="1" applyFill="1" applyBorder="1" applyAlignment="1"/>
    <xf numFmtId="165" fontId="27" fillId="6" borderId="17" xfId="7" applyNumberFormat="1" applyFont="1" applyFill="1" applyBorder="1" applyAlignment="1"/>
    <xf numFmtId="165" fontId="3" fillId="3" borderId="3" xfId="7" applyNumberFormat="1" applyFont="1" applyFill="1" applyBorder="1" applyAlignment="1"/>
    <xf numFmtId="165" fontId="3" fillId="0" borderId="8"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1"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165" fontId="3" fillId="0" borderId="0" xfId="7" applyNumberFormat="1" applyFont="1" applyFill="1" applyBorder="1"/>
    <xf numFmtId="0" fontId="3" fillId="0" borderId="12" xfId="6" applyFont="1" applyBorder="1" applyAlignment="1">
      <alignment horizontal="left" wrapText="1"/>
    </xf>
    <xf numFmtId="165" fontId="3" fillId="0" borderId="1" xfId="7" applyNumberFormat="1" applyFont="1" applyFill="1" applyBorder="1"/>
    <xf numFmtId="0" fontId="23" fillId="5" borderId="5" xfId="6" applyFont="1" applyFill="1" applyBorder="1" applyAlignment="1">
      <alignment horizontal="center" wrapText="1"/>
    </xf>
    <xf numFmtId="0" fontId="23" fillId="5" borderId="6" xfId="6" applyFont="1" applyFill="1" applyBorder="1" applyAlignment="1">
      <alignment horizontal="center" wrapText="1"/>
    </xf>
    <xf numFmtId="43" fontId="3" fillId="0" borderId="8" xfId="1" applyFont="1" applyFill="1" applyBorder="1"/>
    <xf numFmtId="0" fontId="23" fillId="0" borderId="0" xfId="6" applyFont="1" applyAlignment="1">
      <alignment horizontal="center"/>
    </xf>
    <xf numFmtId="0" fontId="3" fillId="0" borderId="8"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8" fillId="0" borderId="0" xfId="0" applyNumberFormat="1" applyFont="1" applyAlignment="1">
      <alignment horizontal="center"/>
    </xf>
    <xf numFmtId="164" fontId="28" fillId="0" borderId="0" xfId="0" applyFont="1" applyAlignment="1">
      <alignment horizontal="left"/>
    </xf>
    <xf numFmtId="44" fontId="28" fillId="0" borderId="0" xfId="0" applyNumberFormat="1" applyFont="1"/>
    <xf numFmtId="164" fontId="28" fillId="0" borderId="0" xfId="0" applyFont="1"/>
    <xf numFmtId="164" fontId="3" fillId="0" borderId="9" xfId="0" applyFont="1" applyBorder="1"/>
    <xf numFmtId="164" fontId="28" fillId="0" borderId="0" xfId="0" applyFont="1" applyAlignment="1">
      <alignment horizontal="center"/>
    </xf>
    <xf numFmtId="0" fontId="28" fillId="0" borderId="0" xfId="6" applyFont="1"/>
    <xf numFmtId="0" fontId="28" fillId="0" borderId="0" xfId="6" applyFont="1" applyAlignment="1">
      <alignment horizontal="center" wrapText="1"/>
    </xf>
    <xf numFmtId="3" fontId="28" fillId="0" borderId="0" xfId="6" applyNumberFormat="1" applyFont="1" applyAlignment="1">
      <alignment horizontal="center" wrapText="1"/>
    </xf>
    <xf numFmtId="0" fontId="28" fillId="2" borderId="0" xfId="6" applyFont="1" applyFill="1"/>
    <xf numFmtId="165" fontId="28" fillId="0" borderId="0" xfId="1" applyNumberFormat="1" applyFont="1" applyFill="1" applyBorder="1" applyAlignment="1">
      <alignment horizontal="center" wrapText="1"/>
    </xf>
    <xf numFmtId="165" fontId="28" fillId="0" borderId="0" xfId="1" applyNumberFormat="1" applyFont="1" applyFill="1" applyBorder="1" applyAlignment="1">
      <alignment horizontal="center"/>
    </xf>
    <xf numFmtId="164" fontId="29" fillId="0" borderId="0" xfId="0" applyFont="1"/>
    <xf numFmtId="165" fontId="28" fillId="0" borderId="0" xfId="1" applyNumberFormat="1" applyFont="1" applyFill="1" applyBorder="1"/>
    <xf numFmtId="0" fontId="28" fillId="2" borderId="3" xfId="6" applyFont="1" applyFill="1" applyBorder="1"/>
    <xf numFmtId="165" fontId="28" fillId="0" borderId="3" xfId="1" applyNumberFormat="1" applyFont="1" applyFill="1" applyBorder="1" applyAlignment="1">
      <alignment horizontal="center" wrapText="1"/>
    </xf>
    <xf numFmtId="0" fontId="28" fillId="0" borderId="0" xfId="6" applyFont="1" applyAlignment="1">
      <alignment horizontal="left"/>
    </xf>
    <xf numFmtId="0" fontId="30" fillId="0" borderId="0" xfId="0" applyNumberFormat="1" applyFont="1" applyAlignment="1">
      <alignment horizontal="center"/>
    </xf>
    <xf numFmtId="164" fontId="30" fillId="0" borderId="0" xfId="0" applyFont="1" applyAlignment="1">
      <alignment horizontal="center"/>
    </xf>
    <xf numFmtId="44" fontId="30"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5" xfId="6" applyFont="1" applyBorder="1" applyAlignment="1">
      <alignment horizontal="left"/>
    </xf>
    <xf numFmtId="0" fontId="3" fillId="0" borderId="7" xfId="6" applyFont="1" applyBorder="1"/>
    <xf numFmtId="0" fontId="23" fillId="5" borderId="0" xfId="6" applyFont="1" applyFill="1" applyAlignment="1">
      <alignment horizontal="center" wrapText="1"/>
    </xf>
    <xf numFmtId="43" fontId="3" fillId="2" borderId="0" xfId="6" applyNumberFormat="1" applyFont="1" applyFill="1" applyAlignment="1">
      <alignment horizontal="center"/>
    </xf>
    <xf numFmtId="164" fontId="3" fillId="2" borderId="0" xfId="0" applyFont="1" applyFill="1"/>
    <xf numFmtId="0" fontId="3" fillId="0" borderId="12" xfId="6" applyFont="1" applyBorder="1"/>
    <xf numFmtId="0" fontId="23" fillId="7" borderId="0" xfId="6" applyFont="1" applyFill="1" applyAlignment="1">
      <alignment horizontal="left"/>
    </xf>
    <xf numFmtId="0" fontId="3" fillId="7" borderId="0" xfId="6" applyFont="1" applyFill="1"/>
    <xf numFmtId="0" fontId="7" fillId="8" borderId="0" xfId="6" applyFill="1"/>
    <xf numFmtId="0" fontId="23" fillId="0" borderId="5" xfId="6" applyFont="1" applyBorder="1" applyAlignment="1">
      <alignment horizontal="center" wrapText="1"/>
    </xf>
    <xf numFmtId="0" fontId="5" fillId="0" borderId="8"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1" fillId="0" borderId="0" xfId="0" applyFont="1"/>
    <xf numFmtId="165" fontId="3" fillId="2" borderId="8" xfId="7" applyNumberFormat="1" applyFont="1" applyFill="1" applyBorder="1" applyAlignment="1">
      <alignment horizontal="right"/>
    </xf>
    <xf numFmtId="165" fontId="3" fillId="2" borderId="0" xfId="7" applyNumberFormat="1" applyFont="1" applyFill="1" applyBorder="1" applyAlignment="1">
      <alignment horizontal="right"/>
    </xf>
    <xf numFmtId="0" fontId="3" fillId="0" borderId="8" xfId="6" applyFont="1" applyBorder="1" applyAlignment="1">
      <alignment horizontal="left"/>
    </xf>
    <xf numFmtId="0" fontId="3" fillId="0" borderId="11" xfId="6" applyFont="1" applyBorder="1"/>
    <xf numFmtId="168" fontId="5" fillId="0" borderId="0" xfId="6" applyNumberFormat="1" applyFont="1" applyAlignment="1">
      <alignment horizontal="left"/>
    </xf>
    <xf numFmtId="3" fontId="3" fillId="0" borderId="9" xfId="6" applyNumberFormat="1" applyFont="1" applyBorder="1"/>
    <xf numFmtId="0" fontId="5" fillId="2" borderId="0" xfId="6" applyFont="1" applyFill="1" applyAlignment="1">
      <alignment horizontal="center"/>
    </xf>
    <xf numFmtId="0" fontId="5" fillId="3" borderId="0" xfId="6" applyFont="1" applyFill="1" applyAlignment="1">
      <alignment horizontal="center"/>
    </xf>
    <xf numFmtId="0" fontId="5" fillId="0" borderId="9" xfId="6" applyFont="1" applyBorder="1" applyAlignment="1">
      <alignment horizontal="center"/>
    </xf>
    <xf numFmtId="10" fontId="3" fillId="2" borderId="0" xfId="1" applyNumberFormat="1" applyFont="1" applyFill="1" applyBorder="1" applyAlignment="1"/>
    <xf numFmtId="168" fontId="3" fillId="3" borderId="0" xfId="8" applyNumberFormat="1" applyFont="1" applyFill="1" applyBorder="1" applyAlignment="1">
      <alignment horizontal="center"/>
    </xf>
    <xf numFmtId="9" fontId="3" fillId="3" borderId="0" xfId="8" applyFont="1" applyFill="1" applyBorder="1" applyAlignment="1">
      <alignment horizontal="center"/>
    </xf>
    <xf numFmtId="0" fontId="3" fillId="3"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2" xfId="4" applyNumberFormat="1" applyFont="1" applyFill="1" applyBorder="1" applyAlignment="1">
      <alignment horizontal="center"/>
    </xf>
    <xf numFmtId="0" fontId="9" fillId="0" borderId="0" xfId="6" applyFont="1" applyAlignment="1">
      <alignment horizontal="left"/>
    </xf>
    <xf numFmtId="0" fontId="5" fillId="0" borderId="5" xfId="6" applyFont="1" applyBorder="1" applyAlignment="1">
      <alignment horizontal="center" wrapText="1"/>
    </xf>
    <xf numFmtId="165" fontId="3" fillId="0" borderId="0" xfId="6" applyNumberFormat="1" applyFont="1" applyAlignment="1">
      <alignment horizontal="center"/>
    </xf>
    <xf numFmtId="0" fontId="7" fillId="0" borderId="11" xfId="6" applyBorder="1"/>
    <xf numFmtId="0" fontId="7" fillId="0" borderId="1" xfId="6" applyBorder="1"/>
    <xf numFmtId="0" fontId="7" fillId="0" borderId="12" xfId="6" applyBorder="1"/>
    <xf numFmtId="165" fontId="3" fillId="0" borderId="1" xfId="6" applyNumberFormat="1" applyFont="1" applyBorder="1"/>
    <xf numFmtId="165" fontId="3" fillId="0" borderId="12" xfId="6" applyNumberFormat="1" applyFont="1" applyBorder="1"/>
    <xf numFmtId="3" fontId="5" fillId="0" borderId="0" xfId="6" applyNumberFormat="1" applyFont="1"/>
    <xf numFmtId="43" fontId="5" fillId="2" borderId="8" xfId="1" applyFont="1" applyFill="1" applyBorder="1"/>
    <xf numFmtId="0" fontId="23" fillId="0" borderId="1" xfId="6" applyFont="1" applyBorder="1"/>
    <xf numFmtId="0" fontId="23" fillId="0" borderId="0" xfId="6" applyFont="1"/>
    <xf numFmtId="0" fontId="23" fillId="5" borderId="5" xfId="6" applyFont="1" applyFill="1" applyBorder="1" applyAlignment="1">
      <alignment horizontal="left"/>
    </xf>
    <xf numFmtId="0" fontId="23" fillId="5" borderId="6" xfId="6" applyFont="1" applyFill="1" applyBorder="1" applyAlignment="1">
      <alignment horizontal="center"/>
    </xf>
    <xf numFmtId="0" fontId="3" fillId="5" borderId="6" xfId="6" applyFont="1" applyFill="1" applyBorder="1"/>
    <xf numFmtId="0" fontId="12" fillId="5" borderId="7"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9" xfId="6" applyFont="1" applyBorder="1" applyAlignment="1">
      <alignment horizontal="center"/>
    </xf>
    <xf numFmtId="165" fontId="10" fillId="2" borderId="0" xfId="1" applyNumberFormat="1" applyFont="1" applyFill="1" applyBorder="1" applyAlignment="1">
      <alignment horizontal="center"/>
    </xf>
    <xf numFmtId="165" fontId="3" fillId="2" borderId="0" xfId="7" applyNumberFormat="1" applyFont="1" applyFill="1" applyBorder="1" applyAlignment="1"/>
    <xf numFmtId="165" fontId="10" fillId="3" borderId="0" xfId="1" applyNumberFormat="1" applyFont="1" applyFill="1" applyBorder="1" applyAlignment="1">
      <alignment horizontal="center"/>
    </xf>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9"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2" borderId="18" xfId="7" applyNumberFormat="1" applyFont="1" applyFill="1" applyBorder="1" applyAlignment="1">
      <alignment horizontal="left"/>
    </xf>
    <xf numFmtId="49" fontId="3" fillId="2" borderId="18" xfId="8" applyNumberFormat="1" applyFont="1" applyFill="1" applyBorder="1" applyAlignment="1">
      <alignment horizontal="left"/>
    </xf>
    <xf numFmtId="0" fontId="3" fillId="2" borderId="18" xfId="6" applyFont="1" applyFill="1" applyBorder="1"/>
    <xf numFmtId="0" fontId="5" fillId="0" borderId="1" xfId="6" applyFont="1" applyBorder="1"/>
    <xf numFmtId="165" fontId="3" fillId="2" borderId="19" xfId="7" applyNumberFormat="1" applyFont="1" applyFill="1" applyBorder="1"/>
    <xf numFmtId="165" fontId="5" fillId="2" borderId="19" xfId="7" applyNumberFormat="1" applyFont="1" applyFill="1" applyBorder="1" applyAlignment="1"/>
    <xf numFmtId="165" fontId="5" fillId="0" borderId="1" xfId="7" applyNumberFormat="1" applyFont="1" applyFill="1" applyBorder="1" applyAlignment="1"/>
    <xf numFmtId="0" fontId="12" fillId="5" borderId="6"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2" borderId="0" xfId="1" applyNumberFormat="1" applyFont="1" applyFill="1" applyBorder="1" applyAlignment="1">
      <alignment horizontal="right"/>
    </xf>
    <xf numFmtId="43" fontId="3" fillId="0" borderId="0" xfId="1" applyFont="1" applyBorder="1"/>
    <xf numFmtId="164" fontId="7" fillId="9"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5" xfId="1" applyNumberFormat="1" applyFont="1" applyFill="1" applyBorder="1" applyAlignment="1">
      <alignment horizontal="center"/>
    </xf>
    <xf numFmtId="3" fontId="5" fillId="0" borderId="6" xfId="6" applyNumberFormat="1" applyFont="1" applyBorder="1" applyAlignment="1">
      <alignment horizontal="left"/>
    </xf>
    <xf numFmtId="165" fontId="3" fillId="0" borderId="6" xfId="1" applyNumberFormat="1" applyFont="1" applyFill="1" applyBorder="1"/>
    <xf numFmtId="165" fontId="3" fillId="0" borderId="6" xfId="1" applyNumberFormat="1" applyFont="1" applyFill="1" applyBorder="1" applyAlignment="1">
      <alignment horizontal="center"/>
    </xf>
    <xf numFmtId="165" fontId="3" fillId="0" borderId="6" xfId="1" applyNumberFormat="1" applyFont="1" applyBorder="1"/>
    <xf numFmtId="165" fontId="3" fillId="0" borderId="7" xfId="1" applyNumberFormat="1" applyFont="1" applyBorder="1"/>
    <xf numFmtId="0" fontId="5" fillId="0" borderId="8" xfId="1" applyNumberFormat="1" applyFont="1" applyBorder="1" applyAlignment="1">
      <alignment horizontal="center"/>
    </xf>
    <xf numFmtId="165" fontId="3" fillId="0" borderId="9" xfId="1" applyNumberFormat="1" applyFont="1" applyBorder="1" applyAlignment="1">
      <alignment horizontal="center"/>
    </xf>
    <xf numFmtId="0" fontId="3" fillId="0" borderId="8" xfId="1" applyNumberFormat="1" applyFont="1" applyBorder="1" applyAlignment="1">
      <alignment horizontal="center"/>
    </xf>
    <xf numFmtId="0" fontId="5" fillId="0" borderId="20"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0" xfId="1" applyNumberFormat="1" applyFont="1" applyFill="1" applyBorder="1" applyAlignment="1">
      <alignment horizontal="center"/>
    </xf>
    <xf numFmtId="165" fontId="3" fillId="0" borderId="9" xfId="1" applyNumberFormat="1" applyFont="1" applyFill="1" applyBorder="1" applyAlignment="1">
      <alignment horizontal="center"/>
    </xf>
    <xf numFmtId="165" fontId="3" fillId="0" borderId="0" xfId="1" applyNumberFormat="1" applyFont="1" applyBorder="1"/>
    <xf numFmtId="165" fontId="3" fillId="0" borderId="9" xfId="1" applyNumberFormat="1" applyFont="1" applyBorder="1"/>
    <xf numFmtId="164" fontId="3" fillId="0" borderId="0" xfId="0" applyFont="1" applyAlignment="1">
      <alignment horizontal="left" indent="1"/>
    </xf>
    <xf numFmtId="165" fontId="3" fillId="3" borderId="21" xfId="1" applyNumberFormat="1" applyFont="1" applyFill="1" applyBorder="1"/>
    <xf numFmtId="165" fontId="3" fillId="3" borderId="22" xfId="1" applyNumberFormat="1" applyFont="1" applyFill="1" applyBorder="1"/>
    <xf numFmtId="165" fontId="27" fillId="0" borderId="23" xfId="1" applyNumberFormat="1" applyFont="1" applyFill="1" applyBorder="1" applyAlignment="1"/>
    <xf numFmtId="165" fontId="3" fillId="3" borderId="24" xfId="1" applyNumberFormat="1" applyFont="1" applyFill="1" applyBorder="1"/>
    <xf numFmtId="165" fontId="3" fillId="0" borderId="25" xfId="1" applyNumberFormat="1" applyFont="1" applyBorder="1"/>
    <xf numFmtId="164" fontId="3" fillId="0" borderId="0" xfId="0" applyFont="1" applyAlignment="1">
      <alignment horizontal="left" indent="2"/>
    </xf>
    <xf numFmtId="165" fontId="3" fillId="3" borderId="26" xfId="1" applyNumberFormat="1" applyFont="1" applyFill="1" applyBorder="1"/>
    <xf numFmtId="164" fontId="3" fillId="0" borderId="0" xfId="0" applyFont="1" applyAlignment="1">
      <alignment horizontal="left"/>
    </xf>
    <xf numFmtId="165" fontId="3" fillId="0" borderId="27" xfId="1" applyNumberFormat="1" applyFont="1" applyBorder="1"/>
    <xf numFmtId="164" fontId="3" fillId="0" borderId="0" xfId="0" applyFont="1" applyAlignment="1">
      <alignment horizontal="left" wrapText="1" indent="1"/>
    </xf>
    <xf numFmtId="165" fontId="3" fillId="0" borderId="9" xfId="1" applyNumberFormat="1" applyFont="1" applyFill="1" applyBorder="1"/>
    <xf numFmtId="165" fontId="5" fillId="0" borderId="0" xfId="1" applyNumberFormat="1" applyFont="1" applyBorder="1"/>
    <xf numFmtId="165" fontId="5" fillId="0" borderId="9" xfId="1" applyNumberFormat="1" applyFont="1" applyBorder="1"/>
    <xf numFmtId="165" fontId="3" fillId="3" borderId="28"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3" borderId="29" xfId="1" applyNumberFormat="1" applyFont="1" applyFill="1" applyBorder="1"/>
    <xf numFmtId="177" fontId="3" fillId="0" borderId="27" xfId="4" applyNumberFormat="1" applyFont="1" applyBorder="1"/>
    <xf numFmtId="0" fontId="3" fillId="0" borderId="11" xfId="1" applyNumberFormat="1" applyFont="1" applyBorder="1" applyAlignment="1">
      <alignment horizontal="center"/>
    </xf>
    <xf numFmtId="165" fontId="3" fillId="0" borderId="1" xfId="1" applyNumberFormat="1" applyFont="1" applyBorder="1"/>
    <xf numFmtId="165" fontId="3" fillId="0" borderId="12"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0" fontId="3" fillId="0" borderId="0" xfId="11" applyFont="1"/>
    <xf numFmtId="10" fontId="3" fillId="0" borderId="0" xfId="10" applyNumberFormat="1" applyFont="1" applyAlignment="1">
      <alignment horizontal="left"/>
    </xf>
    <xf numFmtId="164" fontId="32"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8" xfId="0" applyFont="1" applyBorder="1"/>
    <xf numFmtId="164" fontId="3" fillId="4" borderId="18"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2" fontId="3" fillId="0" borderId="0" xfId="1" applyNumberFormat="1" applyFont="1" applyFill="1"/>
    <xf numFmtId="172" fontId="3" fillId="0" borderId="0" xfId="1" applyNumberFormat="1" applyFont="1"/>
    <xf numFmtId="0" fontId="23" fillId="0" borderId="0" xfId="12" applyFont="1"/>
    <xf numFmtId="0" fontId="5" fillId="0" borderId="0" xfId="12" applyFont="1" applyAlignment="1">
      <alignment horizontal="center"/>
    </xf>
    <xf numFmtId="0" fontId="5" fillId="0" borderId="0" xfId="12" applyFont="1"/>
    <xf numFmtId="0" fontId="3" fillId="2" borderId="30" xfId="12" applyFont="1" applyFill="1" applyBorder="1"/>
    <xf numFmtId="0" fontId="3" fillId="2" borderId="4" xfId="12" applyFont="1" applyFill="1" applyBorder="1"/>
    <xf numFmtId="0" fontId="3" fillId="2" borderId="31" xfId="12" applyFont="1" applyFill="1" applyBorder="1"/>
    <xf numFmtId="0" fontId="3" fillId="2" borderId="18"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34" xfId="0" applyNumberFormat="1" applyFont="1" applyBorder="1" applyAlignment="1">
      <alignment horizontal="center" wrapText="1"/>
    </xf>
    <xf numFmtId="0" fontId="3" fillId="0" borderId="18" xfId="12" applyFont="1" applyBorder="1" applyAlignment="1">
      <alignment horizontal="center"/>
    </xf>
    <xf numFmtId="0" fontId="3" fillId="0" borderId="18" xfId="12" applyFont="1" applyBorder="1" applyAlignment="1">
      <alignment horizontal="center" wrapText="1"/>
    </xf>
    <xf numFmtId="0" fontId="3" fillId="0" borderId="0" xfId="12" applyFont="1" applyAlignment="1">
      <alignment horizontal="left" wrapText="1"/>
    </xf>
    <xf numFmtId="0" fontId="3" fillId="0" borderId="35" xfId="12" applyFont="1" applyBorder="1" applyAlignment="1">
      <alignment horizontal="center" wrapText="1"/>
    </xf>
    <xf numFmtId="0" fontId="3" fillId="0" borderId="36" xfId="12" applyFont="1" applyBorder="1" applyAlignment="1">
      <alignment horizontal="center" wrapText="1"/>
    </xf>
    <xf numFmtId="0" fontId="3" fillId="0" borderId="37" xfId="12" applyFont="1" applyBorder="1" applyAlignment="1">
      <alignment horizontal="center" wrapText="1"/>
    </xf>
    <xf numFmtId="0" fontId="3" fillId="0" borderId="38" xfId="12" applyFont="1" applyBorder="1" applyAlignment="1">
      <alignment horizontal="center"/>
    </xf>
    <xf numFmtId="0" fontId="3" fillId="0" borderId="39" xfId="12" applyFont="1" applyBorder="1"/>
    <xf numFmtId="0" fontId="3" fillId="0" borderId="40" xfId="12" applyFont="1" applyBorder="1" applyAlignment="1">
      <alignment horizontal="center" wrapText="1"/>
    </xf>
    <xf numFmtId="0" fontId="3" fillId="0" borderId="40" xfId="12" applyFont="1" applyBorder="1" applyAlignment="1">
      <alignment horizontal="center"/>
    </xf>
    <xf numFmtId="0" fontId="3" fillId="0" borderId="41" xfId="12" applyFont="1" applyBorder="1"/>
    <xf numFmtId="0" fontId="3" fillId="0" borderId="40" xfId="12" applyFont="1" applyBorder="1"/>
    <xf numFmtId="178" fontId="3" fillId="2" borderId="0" xfId="1" applyNumberFormat="1" applyFont="1" applyFill="1" applyBorder="1" applyAlignment="1">
      <alignment horizontal="center"/>
    </xf>
    <xf numFmtId="165" fontId="3" fillId="2"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2" borderId="39" xfId="1" applyNumberFormat="1" applyFont="1" applyFill="1" applyBorder="1"/>
    <xf numFmtId="165" fontId="3" fillId="2" borderId="0" xfId="1" applyNumberFormat="1" applyFont="1" applyFill="1" applyBorder="1"/>
    <xf numFmtId="165" fontId="3" fillId="0" borderId="40" xfId="1" applyNumberFormat="1" applyFont="1" applyBorder="1"/>
    <xf numFmtId="165" fontId="3" fillId="0" borderId="40" xfId="1" applyNumberFormat="1" applyFont="1" applyFill="1" applyBorder="1"/>
    <xf numFmtId="165" fontId="3" fillId="0" borderId="41" xfId="12" applyNumberFormat="1" applyFont="1" applyBorder="1"/>
    <xf numFmtId="43" fontId="7" fillId="0" borderId="0" xfId="12" applyNumberFormat="1"/>
    <xf numFmtId="43" fontId="3" fillId="2" borderId="0" xfId="1" applyFont="1" applyFill="1" applyBorder="1" applyAlignment="1">
      <alignment horizontal="center"/>
    </xf>
    <xf numFmtId="172" fontId="3" fillId="0" borderId="0" xfId="0" applyNumberFormat="1" applyFont="1" applyAlignment="1">
      <alignment horizontal="center"/>
    </xf>
    <xf numFmtId="43" fontId="3" fillId="2"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2" borderId="39" xfId="1" applyNumberFormat="1" applyFont="1" applyFill="1" applyBorder="1" applyAlignment="1">
      <alignment horizontal="center"/>
    </xf>
    <xf numFmtId="43" fontId="3" fillId="2" borderId="39" xfId="1" applyFont="1" applyFill="1" applyBorder="1" applyAlignment="1">
      <alignment horizontal="center"/>
    </xf>
    <xf numFmtId="165" fontId="3" fillId="0" borderId="32" xfId="12" applyNumberFormat="1" applyFont="1" applyBorder="1"/>
    <xf numFmtId="165" fontId="3" fillId="0" borderId="3" xfId="12" applyNumberFormat="1" applyFont="1" applyBorder="1"/>
    <xf numFmtId="165" fontId="3" fillId="0" borderId="33" xfId="12" applyNumberFormat="1" applyFont="1" applyBorder="1"/>
    <xf numFmtId="165" fontId="3" fillId="0" borderId="40" xfId="12" applyNumberFormat="1" applyFont="1" applyBorder="1"/>
    <xf numFmtId="42" fontId="7" fillId="0" borderId="0" xfId="12" applyNumberFormat="1"/>
    <xf numFmtId="165" fontId="3" fillId="0" borderId="18" xfId="1" applyNumberFormat="1" applyFont="1" applyFill="1" applyBorder="1"/>
    <xf numFmtId="165" fontId="3" fillId="2"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30" xfId="12" applyFont="1" applyBorder="1" applyAlignment="1">
      <alignment horizontal="center" wrapText="1"/>
    </xf>
    <xf numFmtId="0" fontId="3" fillId="0" borderId="18" xfId="12" applyFont="1" applyBorder="1" applyAlignment="1">
      <alignment wrapText="1"/>
    </xf>
    <xf numFmtId="0" fontId="3" fillId="0" borderId="31" xfId="12" applyFont="1" applyBorder="1"/>
    <xf numFmtId="165" fontId="3" fillId="4" borderId="18" xfId="1" applyNumberFormat="1" applyFont="1" applyFill="1" applyBorder="1" applyAlignment="1"/>
    <xf numFmtId="165" fontId="3" fillId="0" borderId="18" xfId="1" applyNumberFormat="1" applyFont="1" applyFill="1" applyBorder="1" applyAlignment="1">
      <alignment horizontal="center"/>
    </xf>
    <xf numFmtId="165" fontId="3" fillId="4" borderId="18"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6" fillId="0" borderId="0" xfId="0" applyFont="1"/>
    <xf numFmtId="164" fontId="3" fillId="0" borderId="0" xfId="0" applyFont="1" applyProtection="1">
      <protection locked="0"/>
    </xf>
    <xf numFmtId="0" fontId="3" fillId="3"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42" xfId="0" applyFont="1" applyBorder="1" applyAlignment="1" applyProtection="1">
      <alignment horizontal="center" wrapText="1"/>
      <protection locked="0"/>
    </xf>
    <xf numFmtId="164" fontId="3" fillId="0" borderId="43" xfId="0" applyFont="1" applyBorder="1" applyAlignment="1" applyProtection="1">
      <alignment horizontal="center" wrapText="1"/>
      <protection locked="0"/>
    </xf>
    <xf numFmtId="164" fontId="3" fillId="0" borderId="43" xfId="0" applyFont="1" applyBorder="1" applyProtection="1">
      <protection locked="0"/>
    </xf>
    <xf numFmtId="173" fontId="3" fillId="3" borderId="44"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44"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77" fontId="3" fillId="3"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3"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16" fillId="0" borderId="0" xfId="12" applyFont="1"/>
    <xf numFmtId="0" fontId="16" fillId="0" borderId="0" xfId="12" applyFont="1" applyAlignment="1">
      <alignment horizontal="center"/>
    </xf>
    <xf numFmtId="0" fontId="33" fillId="0" borderId="0" xfId="12" applyFont="1"/>
    <xf numFmtId="0" fontId="3" fillId="0" borderId="3" xfId="12" applyFont="1" applyBorder="1" applyAlignment="1">
      <alignment horizontal="center"/>
    </xf>
    <xf numFmtId="0" fontId="3" fillId="0" borderId="3" xfId="12" applyFont="1" applyBorder="1"/>
    <xf numFmtId="0" fontId="16" fillId="0" borderId="3" xfId="12" applyFont="1" applyBorder="1"/>
    <xf numFmtId="0" fontId="3" fillId="0" borderId="3" xfId="12" applyFont="1" applyBorder="1" applyAlignment="1">
      <alignment horizontal="center" wrapText="1"/>
    </xf>
    <xf numFmtId="0" fontId="3" fillId="0" borderId="0" xfId="12" applyFont="1" applyAlignment="1">
      <alignment horizontal="right"/>
    </xf>
    <xf numFmtId="43" fontId="16" fillId="0" borderId="0" xfId="1" applyFont="1" applyFill="1"/>
    <xf numFmtId="37" fontId="3" fillId="0" borderId="0" xfId="12" applyNumberFormat="1" applyFont="1"/>
    <xf numFmtId="43" fontId="3" fillId="0" borderId="0" xfId="12" applyNumberFormat="1" applyFont="1"/>
    <xf numFmtId="9" fontId="3" fillId="0" borderId="0" xfId="12" applyNumberFormat="1" applyFont="1" applyAlignment="1">
      <alignment horizontal="left"/>
    </xf>
    <xf numFmtId="37" fontId="3" fillId="0" borderId="0" xfId="12" applyNumberFormat="1" applyFont="1" applyAlignment="1">
      <alignment horizontal="left"/>
    </xf>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2" borderId="0" xfId="1" applyNumberFormat="1" applyFont="1" applyFill="1" applyAlignment="1">
      <alignment horizontal="center"/>
    </xf>
    <xf numFmtId="43" fontId="16" fillId="0" borderId="0" xfId="12" applyNumberFormat="1" applyFont="1"/>
    <xf numFmtId="165" fontId="3" fillId="11" borderId="0" xfId="1" applyNumberFormat="1" applyFont="1" applyFill="1"/>
    <xf numFmtId="165" fontId="16" fillId="0" borderId="0" xfId="12" applyNumberFormat="1" applyFont="1"/>
    <xf numFmtId="10" fontId="16" fillId="0" borderId="0" xfId="12" applyNumberFormat="1" applyFont="1"/>
    <xf numFmtId="43" fontId="3" fillId="0" borderId="27" xfId="1" applyFont="1" applyFill="1" applyBorder="1"/>
    <xf numFmtId="43" fontId="3" fillId="0" borderId="27" xfId="12" applyNumberFormat="1" applyFont="1" applyBorder="1"/>
    <xf numFmtId="9" fontId="3" fillId="0" borderId="27" xfId="4" applyFont="1" applyFill="1" applyBorder="1"/>
    <xf numFmtId="0" fontId="3" fillId="3" borderId="45" xfId="12" applyFont="1" applyFill="1" applyBorder="1"/>
    <xf numFmtId="41" fontId="3" fillId="3" borderId="18" xfId="12" applyNumberFormat="1" applyFont="1" applyFill="1" applyBorder="1"/>
    <xf numFmtId="41" fontId="3" fillId="3" borderId="18" xfId="2" applyFont="1" applyFill="1" applyBorder="1"/>
    <xf numFmtId="0" fontId="3" fillId="3" borderId="46" xfId="12" applyFont="1" applyFill="1" applyBorder="1" applyAlignment="1">
      <alignment wrapText="1"/>
    </xf>
    <xf numFmtId="0" fontId="3" fillId="3" borderId="45" xfId="12" applyFont="1" applyFill="1" applyBorder="1" applyAlignment="1">
      <alignment wrapText="1"/>
    </xf>
    <xf numFmtId="0" fontId="3" fillId="3" borderId="18" xfId="12" applyFont="1" applyFill="1" applyBorder="1"/>
    <xf numFmtId="0" fontId="3" fillId="0" borderId="47" xfId="12" applyFont="1" applyBorder="1"/>
    <xf numFmtId="165" fontId="3" fillId="0" borderId="18" xfId="1" applyNumberFormat="1" applyFont="1" applyBorder="1"/>
    <xf numFmtId="37" fontId="3" fillId="0" borderId="46" xfId="12" applyNumberFormat="1" applyFont="1" applyBorder="1" applyAlignment="1">
      <alignment wrapText="1"/>
    </xf>
    <xf numFmtId="0" fontId="3" fillId="0" borderId="48" xfId="12" applyFont="1" applyBorder="1"/>
    <xf numFmtId="165" fontId="3" fillId="3" borderId="18" xfId="1" applyNumberFormat="1" applyFont="1" applyFill="1" applyBorder="1"/>
    <xf numFmtId="165" fontId="3" fillId="3" borderId="18" xfId="1" applyNumberFormat="1" applyFont="1" applyFill="1" applyBorder="1" applyAlignment="1">
      <alignment horizontal="right"/>
    </xf>
    <xf numFmtId="165" fontId="3" fillId="3" borderId="18" xfId="1" applyNumberFormat="1" applyFont="1" applyFill="1" applyBorder="1" applyAlignment="1">
      <alignment horizontal="center"/>
    </xf>
    <xf numFmtId="0" fontId="3" fillId="0" borderId="49" xfId="12" applyFont="1" applyBorder="1"/>
    <xf numFmtId="165" fontId="3" fillId="3" borderId="38" xfId="1" applyNumberFormat="1" applyFont="1" applyFill="1" applyBorder="1"/>
    <xf numFmtId="0" fontId="3" fillId="3" borderId="50" xfId="12" applyFont="1" applyFill="1" applyBorder="1" applyAlignment="1">
      <alignment wrapText="1"/>
    </xf>
    <xf numFmtId="0" fontId="3" fillId="0" borderId="51" xfId="12" applyFont="1" applyBorder="1"/>
    <xf numFmtId="165" fontId="3" fillId="0" borderId="52" xfId="1" applyNumberFormat="1" applyFont="1" applyFill="1" applyBorder="1"/>
    <xf numFmtId="0" fontId="3" fillId="0" borderId="53"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0" fontId="3" fillId="3" borderId="45" xfId="12" applyFont="1" applyFill="1" applyBorder="1" applyAlignment="1">
      <alignment horizontal="center" wrapText="1"/>
    </xf>
    <xf numFmtId="37" fontId="3" fillId="3" borderId="47" xfId="12" applyNumberFormat="1" applyFont="1" applyFill="1" applyBorder="1" applyAlignment="1">
      <alignment horizontal="center"/>
    </xf>
    <xf numFmtId="37" fontId="3" fillId="3" borderId="18" xfId="12" applyNumberFormat="1" applyFont="1" applyFill="1" applyBorder="1"/>
    <xf numFmtId="0" fontId="3" fillId="3" borderId="47" xfId="12" applyFont="1" applyFill="1" applyBorder="1" applyAlignment="1">
      <alignment horizontal="center"/>
    </xf>
    <xf numFmtId="0" fontId="3" fillId="0" borderId="45" xfId="12" applyFont="1" applyBorder="1"/>
    <xf numFmtId="0" fontId="3" fillId="0" borderId="54" xfId="12" applyFont="1" applyBorder="1"/>
    <xf numFmtId="0" fontId="3" fillId="3" borderId="45" xfId="15" applyFont="1" applyFill="1" applyBorder="1"/>
    <xf numFmtId="0" fontId="3" fillId="0" borderId="55" xfId="12" applyFont="1" applyBorder="1"/>
    <xf numFmtId="165" fontId="3" fillId="3" borderId="38" xfId="1" applyNumberFormat="1" applyFont="1" applyFill="1" applyBorder="1" applyAlignment="1">
      <alignment horizontal="right"/>
    </xf>
    <xf numFmtId="165" fontId="3" fillId="0" borderId="52"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41" fontId="3" fillId="0" borderId="0" xfId="12" applyNumberFormat="1" applyFont="1" applyAlignment="1">
      <alignment horizontal="center"/>
    </xf>
    <xf numFmtId="41" fontId="34" fillId="0" borderId="0" xfId="12" applyNumberFormat="1" applyFont="1" applyAlignment="1">
      <alignment horizontal="center"/>
    </xf>
    <xf numFmtId="43" fontId="16" fillId="0" borderId="0" xfId="1" applyFont="1" applyFill="1" applyAlignment="1"/>
    <xf numFmtId="10" fontId="3" fillId="0" borderId="0" xfId="4" applyNumberFormat="1" applyFont="1" applyFill="1"/>
    <xf numFmtId="165" fontId="16" fillId="0" borderId="0" xfId="1" applyNumberFormat="1" applyFont="1" applyFill="1"/>
    <xf numFmtId="41" fontId="3" fillId="2" borderId="0" xfId="1" applyNumberFormat="1" applyFont="1" applyFill="1"/>
    <xf numFmtId="165" fontId="16" fillId="2" borderId="0" xfId="1" applyNumberFormat="1" applyFont="1" applyFill="1"/>
    <xf numFmtId="0" fontId="5" fillId="0" borderId="0" xfId="12" applyFont="1" applyAlignment="1">
      <alignment horizontal="right"/>
    </xf>
    <xf numFmtId="0" fontId="3" fillId="11" borderId="45" xfId="12" applyFont="1" applyFill="1" applyBorder="1" applyAlignment="1">
      <alignment wrapText="1"/>
    </xf>
    <xf numFmtId="41" fontId="3" fillId="11" borderId="18" xfId="12" applyNumberFormat="1" applyFont="1" applyFill="1" applyBorder="1"/>
    <xf numFmtId="0" fontId="3" fillId="11" borderId="46" xfId="12" applyFont="1" applyFill="1" applyBorder="1" applyAlignment="1">
      <alignment wrapText="1"/>
    </xf>
    <xf numFmtId="41" fontId="3" fillId="11" borderId="18" xfId="2" applyFont="1" applyFill="1" applyBorder="1"/>
    <xf numFmtId="41" fontId="3" fillId="0" borderId="0" xfId="2" applyFont="1" applyFill="1" applyBorder="1"/>
    <xf numFmtId="0" fontId="16" fillId="0" borderId="3" xfId="12" applyFont="1" applyBorder="1" applyAlignment="1">
      <alignment horizontal="center" wrapText="1"/>
    </xf>
    <xf numFmtId="43" fontId="16" fillId="0" borderId="0" xfId="1" applyFont="1"/>
    <xf numFmtId="0" fontId="3" fillId="2" borderId="45" xfId="12" applyFont="1" applyFill="1" applyBorder="1" applyAlignment="1">
      <alignment wrapText="1"/>
    </xf>
    <xf numFmtId="165" fontId="16" fillId="0" borderId="0" xfId="1" applyNumberFormat="1" applyFont="1"/>
    <xf numFmtId="0" fontId="3" fillId="0" borderId="0" xfId="1" applyNumberFormat="1" applyFont="1" applyFill="1" applyAlignment="1">
      <alignment horizontal="center"/>
    </xf>
    <xf numFmtId="0" fontId="35" fillId="0" borderId="0" xfId="12" applyFont="1"/>
    <xf numFmtId="165" fontId="35" fillId="0" borderId="0" xfId="12" applyNumberFormat="1" applyFont="1"/>
    <xf numFmtId="9" fontId="35" fillId="0" borderId="0" xfId="4" applyFont="1" applyFill="1" applyAlignment="1"/>
    <xf numFmtId="165" fontId="35" fillId="0" borderId="0" xfId="1" applyNumberFormat="1" applyFont="1" applyFill="1" applyAlignment="1"/>
    <xf numFmtId="0" fontId="35" fillId="0" borderId="0" xfId="12" applyFont="1" applyAlignment="1">
      <alignment horizontal="center"/>
    </xf>
    <xf numFmtId="0" fontId="35" fillId="0" borderId="0" xfId="12" applyFont="1" applyAlignment="1">
      <alignment horizontal="left"/>
    </xf>
    <xf numFmtId="0" fontId="35" fillId="0" borderId="8" xfId="12" applyFont="1" applyBorder="1" applyAlignment="1">
      <alignment horizontal="center"/>
    </xf>
    <xf numFmtId="0" fontId="35" fillId="12" borderId="0" xfId="12" applyFont="1" applyFill="1" applyAlignment="1">
      <alignment horizontal="center"/>
    </xf>
    <xf numFmtId="0" fontId="35" fillId="12" borderId="9" xfId="12" applyFont="1" applyFill="1" applyBorder="1" applyAlignment="1">
      <alignment horizontal="center"/>
    </xf>
    <xf numFmtId="0" fontId="35" fillId="0" borderId="3" xfId="12" applyFont="1" applyBorder="1" applyAlignment="1">
      <alignment horizontal="right" vertical="top"/>
    </xf>
    <xf numFmtId="0" fontId="35" fillId="0" borderId="3" xfId="12" applyFont="1" applyBorder="1" applyAlignment="1">
      <alignment horizontal="center" vertical="top" wrapText="1"/>
    </xf>
    <xf numFmtId="0" fontId="35" fillId="0" borderId="20" xfId="12" applyFont="1" applyBorder="1" applyAlignment="1">
      <alignment horizontal="center" vertical="top" wrapText="1"/>
    </xf>
    <xf numFmtId="0" fontId="35" fillId="0" borderId="10" xfId="12" applyFont="1" applyBorder="1" applyAlignment="1">
      <alignment horizontal="center" vertical="top" wrapText="1"/>
    </xf>
    <xf numFmtId="0" fontId="35" fillId="0" borderId="8" xfId="12" applyFont="1" applyBorder="1"/>
    <xf numFmtId="0" fontId="35" fillId="0" borderId="9" xfId="12" applyFont="1" applyBorder="1"/>
    <xf numFmtId="0" fontId="35" fillId="0" borderId="0" xfId="12" applyFont="1" applyAlignment="1">
      <alignment horizontal="right"/>
    </xf>
    <xf numFmtId="0" fontId="35" fillId="2" borderId="0" xfId="1" applyNumberFormat="1" applyFont="1" applyFill="1" applyAlignment="1">
      <alignment horizontal="center"/>
    </xf>
    <xf numFmtId="10" fontId="35" fillId="0" borderId="0" xfId="4" applyNumberFormat="1" applyFont="1" applyFill="1"/>
    <xf numFmtId="165" fontId="35" fillId="0" borderId="8" xfId="1" applyNumberFormat="1" applyFont="1" applyFill="1" applyBorder="1"/>
    <xf numFmtId="165" fontId="35" fillId="0" borderId="0" xfId="1" applyNumberFormat="1" applyFont="1" applyFill="1" applyBorder="1"/>
    <xf numFmtId="165" fontId="35" fillId="0" borderId="9" xfId="1" applyNumberFormat="1" applyFont="1" applyFill="1" applyBorder="1"/>
    <xf numFmtId="165" fontId="35" fillId="2" borderId="0" xfId="1" applyNumberFormat="1" applyFont="1" applyFill="1" applyBorder="1"/>
    <xf numFmtId="165" fontId="35" fillId="11" borderId="0" xfId="1" applyNumberFormat="1" applyFont="1" applyFill="1" applyBorder="1"/>
    <xf numFmtId="165" fontId="35" fillId="11" borderId="9" xfId="1" applyNumberFormat="1" applyFont="1" applyFill="1" applyBorder="1"/>
    <xf numFmtId="165" fontId="35" fillId="0" borderId="20" xfId="1" applyNumberFormat="1" applyFont="1" applyFill="1" applyBorder="1"/>
    <xf numFmtId="165" fontId="35" fillId="0" borderId="3" xfId="1" applyNumberFormat="1" applyFont="1" applyFill="1" applyBorder="1"/>
    <xf numFmtId="165" fontId="35" fillId="2" borderId="3" xfId="1" applyNumberFormat="1" applyFont="1" applyFill="1" applyBorder="1"/>
    <xf numFmtId="165" fontId="35" fillId="0" borderId="0" xfId="1" applyNumberFormat="1" applyFont="1" applyFill="1"/>
    <xf numFmtId="165" fontId="35" fillId="0" borderId="36" xfId="1" applyNumberFormat="1" applyFont="1" applyFill="1" applyBorder="1"/>
    <xf numFmtId="165" fontId="35" fillId="0" borderId="56" xfId="1" applyNumberFormat="1" applyFont="1" applyFill="1" applyBorder="1"/>
    <xf numFmtId="165" fontId="35" fillId="0" borderId="11" xfId="1" applyNumberFormat="1" applyFont="1" applyFill="1" applyBorder="1"/>
    <xf numFmtId="165" fontId="35" fillId="0" borderId="1" xfId="1" applyNumberFormat="1" applyFont="1" applyFill="1" applyBorder="1"/>
    <xf numFmtId="165" fontId="35" fillId="0" borderId="57" xfId="1" applyNumberFormat="1" applyFont="1" applyFill="1" applyBorder="1"/>
    <xf numFmtId="165" fontId="35" fillId="0" borderId="58" xfId="1" applyNumberFormat="1" applyFont="1" applyFill="1" applyBorder="1"/>
    <xf numFmtId="165" fontId="35" fillId="0" borderId="59" xfId="1" applyNumberFormat="1" applyFont="1" applyFill="1" applyBorder="1"/>
    <xf numFmtId="165" fontId="35" fillId="0" borderId="0" xfId="1" applyNumberFormat="1" applyFont="1"/>
    <xf numFmtId="0" fontId="36" fillId="0" borderId="0" xfId="12" applyFont="1"/>
    <xf numFmtId="41" fontId="35" fillId="0" borderId="0" xfId="12" applyNumberFormat="1" applyFont="1" applyAlignment="1">
      <alignment horizontal="center"/>
    </xf>
    <xf numFmtId="0" fontId="36" fillId="0" borderId="0" xfId="12" applyFont="1" applyAlignment="1">
      <alignment horizontal="right"/>
    </xf>
    <xf numFmtId="0" fontId="37" fillId="0" borderId="0" xfId="16" applyFont="1"/>
    <xf numFmtId="164" fontId="13" fillId="0" borderId="0" xfId="0" applyFont="1" applyAlignment="1">
      <alignment horizontal="center"/>
    </xf>
    <xf numFmtId="164" fontId="0" fillId="0" borderId="0" xfId="0" applyAlignment="1">
      <alignment horizontal="center"/>
    </xf>
    <xf numFmtId="0" fontId="39" fillId="0" borderId="0" xfId="16" applyFont="1" applyAlignment="1">
      <alignment horizontal="center"/>
    </xf>
    <xf numFmtId="49" fontId="39" fillId="0" borderId="0" xfId="16" applyNumberFormat="1" applyFont="1" applyAlignment="1">
      <alignment horizontal="center"/>
    </xf>
    <xf numFmtId="165" fontId="39" fillId="0" borderId="0" xfId="17" applyNumberFormat="1" applyFont="1" applyAlignment="1">
      <alignment horizontal="center"/>
    </xf>
    <xf numFmtId="10" fontId="39" fillId="0" borderId="0" xfId="18" applyNumberFormat="1" applyFont="1" applyAlignment="1">
      <alignment horizontal="center"/>
    </xf>
    <xf numFmtId="49" fontId="39" fillId="0" borderId="0" xfId="16" applyNumberFormat="1" applyFont="1" applyAlignment="1">
      <alignment horizontal="center" wrapText="1"/>
    </xf>
    <xf numFmtId="49" fontId="39" fillId="0" borderId="0" xfId="17" applyNumberFormat="1" applyFont="1" applyBorder="1" applyAlignment="1">
      <alignment horizontal="center" wrapText="1"/>
    </xf>
    <xf numFmtId="0" fontId="37" fillId="0" borderId="0" xfId="16" applyFont="1" applyAlignment="1">
      <alignment horizontal="center" wrapText="1"/>
    </xf>
    <xf numFmtId="0" fontId="39" fillId="2" borderId="0" xfId="16" applyFont="1" applyFill="1" applyAlignment="1">
      <alignment horizontal="center" wrapText="1"/>
    </xf>
    <xf numFmtId="0" fontId="39" fillId="2" borderId="0" xfId="17" applyNumberFormat="1" applyFont="1" applyFill="1" applyBorder="1" applyAlignment="1">
      <alignment horizontal="center" wrapText="1"/>
    </xf>
    <xf numFmtId="49" fontId="37" fillId="2" borderId="60" xfId="17" applyNumberFormat="1" applyFont="1" applyFill="1" applyBorder="1" applyAlignment="1">
      <alignment horizontal="left"/>
    </xf>
    <xf numFmtId="165" fontId="37" fillId="2" borderId="60" xfId="17" applyNumberFormat="1" applyFont="1" applyFill="1" applyBorder="1"/>
    <xf numFmtId="165" fontId="37" fillId="0" borderId="61" xfId="17" applyNumberFormat="1" applyFont="1" applyBorder="1"/>
    <xf numFmtId="165" fontId="37" fillId="0" borderId="60" xfId="17" applyNumberFormat="1" applyFont="1" applyBorder="1"/>
    <xf numFmtId="10" fontId="37" fillId="2" borderId="60" xfId="18" applyNumberFormat="1" applyFont="1" applyFill="1" applyBorder="1"/>
    <xf numFmtId="0" fontId="37" fillId="0" borderId="60" xfId="16" applyFont="1" applyBorder="1"/>
    <xf numFmtId="165" fontId="37" fillId="0" borderId="60" xfId="16" applyNumberFormat="1" applyFont="1" applyBorder="1"/>
    <xf numFmtId="49" fontId="37" fillId="2" borderId="61" xfId="17" applyNumberFormat="1" applyFont="1" applyFill="1" applyBorder="1"/>
    <xf numFmtId="165" fontId="37" fillId="2" borderId="61" xfId="17" applyNumberFormat="1" applyFont="1" applyFill="1" applyBorder="1"/>
    <xf numFmtId="10" fontId="37" fillId="2" borderId="61" xfId="18" applyNumberFormat="1" applyFont="1" applyFill="1" applyBorder="1"/>
    <xf numFmtId="0" fontId="37" fillId="0" borderId="61" xfId="16" applyFont="1" applyBorder="1"/>
    <xf numFmtId="49" fontId="37" fillId="0" borderId="0" xfId="16" applyNumberFormat="1" applyFont="1"/>
    <xf numFmtId="165" fontId="37" fillId="0" borderId="0" xfId="17" applyNumberFormat="1" applyFont="1" applyBorder="1" applyAlignment="1"/>
    <xf numFmtId="179" fontId="37" fillId="0" borderId="62" xfId="19" applyNumberFormat="1" applyFont="1" applyBorder="1" applyAlignment="1"/>
    <xf numFmtId="165" fontId="37" fillId="0" borderId="62" xfId="17" applyNumberFormat="1" applyFont="1" applyBorder="1" applyAlignment="1"/>
    <xf numFmtId="179" fontId="39" fillId="0" borderId="63" xfId="19" applyNumberFormat="1" applyFont="1" applyBorder="1" applyAlignment="1"/>
    <xf numFmtId="165" fontId="37" fillId="0" borderId="0" xfId="17" applyNumberFormat="1" applyFont="1"/>
    <xf numFmtId="10" fontId="37" fillId="0" borderId="0" xfId="18" applyNumberFormat="1" applyFont="1"/>
    <xf numFmtId="49" fontId="37" fillId="0" borderId="0" xfId="16" applyNumberFormat="1" applyFont="1" applyAlignment="1">
      <alignment horizontal="right"/>
    </xf>
    <xf numFmtId="49" fontId="37" fillId="0" borderId="0" xfId="17" applyNumberFormat="1" applyFont="1" applyAlignment="1">
      <alignment horizontal="right"/>
    </xf>
    <xf numFmtId="49" fontId="37" fillId="0" borderId="0" xfId="17" applyNumberFormat="1" applyFont="1" applyAlignment="1">
      <alignment vertical="top" wrapText="1"/>
    </xf>
    <xf numFmtId="49" fontId="37" fillId="0" borderId="0" xfId="17" applyNumberFormat="1" applyFont="1" applyAlignment="1">
      <alignment horizontal="left" vertical="top" wrapText="1"/>
    </xf>
    <xf numFmtId="49" fontId="37" fillId="0" borderId="0" xfId="16" applyNumberFormat="1" applyFont="1" applyAlignment="1">
      <alignment vertical="top" wrapText="1"/>
    </xf>
    <xf numFmtId="164" fontId="40" fillId="0" borderId="0" xfId="0" applyFont="1" applyAlignment="1">
      <alignment vertical="center"/>
    </xf>
    <xf numFmtId="0" fontId="41" fillId="0" borderId="0" xfId="16" applyFont="1"/>
    <xf numFmtId="0" fontId="42" fillId="0" borderId="0" xfId="16" applyFont="1" applyAlignment="1">
      <alignment horizontal="center"/>
    </xf>
    <xf numFmtId="165" fontId="42" fillId="0" borderId="0" xfId="17" applyNumberFormat="1" applyFont="1" applyAlignment="1">
      <alignment horizontal="center"/>
    </xf>
    <xf numFmtId="10" fontId="42" fillId="0" borderId="0" xfId="18" applyNumberFormat="1" applyFont="1" applyAlignment="1">
      <alignment horizontal="center"/>
    </xf>
    <xf numFmtId="0" fontId="42" fillId="0" borderId="0" xfId="16" applyFont="1" applyAlignment="1">
      <alignment horizontal="center" wrapText="1"/>
    </xf>
    <xf numFmtId="49" fontId="42" fillId="0" borderId="0" xfId="16" applyNumberFormat="1" applyFont="1" applyAlignment="1">
      <alignment horizontal="center" wrapText="1"/>
    </xf>
    <xf numFmtId="49" fontId="42" fillId="0" borderId="0" xfId="17" applyNumberFormat="1" applyFont="1" applyBorder="1" applyAlignment="1">
      <alignment horizontal="center" wrapText="1"/>
    </xf>
    <xf numFmtId="0" fontId="41" fillId="0" borderId="0" xfId="16" applyFont="1" applyAlignment="1">
      <alignment horizontal="center" wrapText="1"/>
    </xf>
    <xf numFmtId="0" fontId="42" fillId="0" borderId="3" xfId="16" applyFont="1" applyBorder="1" applyAlignment="1">
      <alignment horizontal="center" wrapText="1"/>
    </xf>
    <xf numFmtId="1" fontId="42" fillId="2" borderId="3" xfId="1" applyNumberFormat="1" applyFont="1" applyFill="1" applyBorder="1" applyAlignment="1">
      <alignment horizontal="center" wrapText="1"/>
    </xf>
    <xf numFmtId="0" fontId="41" fillId="0" borderId="60" xfId="16" applyFont="1" applyBorder="1"/>
    <xf numFmtId="0" fontId="41" fillId="2" borderId="61" xfId="16" applyFont="1" applyFill="1" applyBorder="1"/>
    <xf numFmtId="0" fontId="41" fillId="2" borderId="60" xfId="16" applyFont="1" applyFill="1" applyBorder="1"/>
    <xf numFmtId="14" fontId="41" fillId="2" borderId="60" xfId="16" applyNumberFormat="1" applyFont="1" applyFill="1" applyBorder="1"/>
    <xf numFmtId="0" fontId="41" fillId="2" borderId="61" xfId="16" applyFont="1" applyFill="1" applyBorder="1" applyAlignment="1">
      <alignment horizontal="right"/>
    </xf>
    <xf numFmtId="165" fontId="41" fillId="2" borderId="61" xfId="17" applyNumberFormat="1" applyFont="1" applyFill="1" applyBorder="1"/>
    <xf numFmtId="165" fontId="41" fillId="0" borderId="60" xfId="17" applyNumberFormat="1" applyFont="1" applyBorder="1"/>
    <xf numFmtId="165" fontId="41" fillId="0" borderId="60" xfId="17" applyNumberFormat="1" applyFont="1" applyBorder="1" applyAlignment="1"/>
    <xf numFmtId="9" fontId="41" fillId="2" borderId="60" xfId="1" applyNumberFormat="1" applyFont="1" applyFill="1" applyBorder="1"/>
    <xf numFmtId="165" fontId="41" fillId="0" borderId="60" xfId="16" applyNumberFormat="1" applyFont="1" applyBorder="1"/>
    <xf numFmtId="0" fontId="41" fillId="0" borderId="61" xfId="16" applyFont="1" applyBorder="1"/>
    <xf numFmtId="14" fontId="41" fillId="2" borderId="61" xfId="16" applyNumberFormat="1" applyFont="1" applyFill="1" applyBorder="1"/>
    <xf numFmtId="14" fontId="41" fillId="2" borderId="64" xfId="16" applyNumberFormat="1" applyFont="1" applyFill="1" applyBorder="1"/>
    <xf numFmtId="165" fontId="41" fillId="0" borderId="61" xfId="17" applyNumberFormat="1" applyFont="1" applyBorder="1"/>
    <xf numFmtId="165" fontId="41" fillId="0" borderId="61" xfId="17" applyNumberFormat="1" applyFont="1" applyBorder="1" applyAlignment="1"/>
    <xf numFmtId="9" fontId="41" fillId="2" borderId="61" xfId="1" applyNumberFormat="1" applyFont="1" applyFill="1" applyBorder="1"/>
    <xf numFmtId="165" fontId="41" fillId="0" borderId="61" xfId="16" applyNumberFormat="1" applyFont="1" applyBorder="1"/>
    <xf numFmtId="165" fontId="41" fillId="2" borderId="61" xfId="17" applyNumberFormat="1" applyFont="1" applyFill="1" applyBorder="1" applyAlignment="1"/>
    <xf numFmtId="165" fontId="41" fillId="2" borderId="61" xfId="17" applyNumberFormat="1" applyFont="1" applyFill="1" applyBorder="1" applyAlignment="1">
      <alignment horizontal="center"/>
    </xf>
    <xf numFmtId="165" fontId="41" fillId="2" borderId="61" xfId="1" applyNumberFormat="1" applyFont="1" applyFill="1" applyBorder="1"/>
    <xf numFmtId="165" fontId="41" fillId="0" borderId="63" xfId="16" applyNumberFormat="1" applyFont="1" applyBorder="1"/>
    <xf numFmtId="165" fontId="41" fillId="0" borderId="0" xfId="17" applyNumberFormat="1" applyFont="1" applyAlignment="1"/>
    <xf numFmtId="165" fontId="41" fillId="0" borderId="0" xfId="17" applyNumberFormat="1" applyFont="1"/>
    <xf numFmtId="165" fontId="41" fillId="0" borderId="62" xfId="17" applyNumberFormat="1" applyFont="1" applyBorder="1" applyAlignment="1"/>
    <xf numFmtId="43" fontId="41" fillId="0" borderId="0" xfId="17" applyFont="1" applyBorder="1" applyAlignment="1"/>
    <xf numFmtId="179" fontId="41" fillId="0" borderId="0" xfId="19" applyNumberFormat="1" applyFont="1" applyBorder="1" applyAlignment="1"/>
    <xf numFmtId="0" fontId="41" fillId="0" borderId="0" xfId="16" applyFont="1" applyAlignment="1">
      <alignment horizontal="center"/>
    </xf>
    <xf numFmtId="10" fontId="41" fillId="0" borderId="0" xfId="18" applyNumberFormat="1" applyFont="1"/>
    <xf numFmtId="43" fontId="41" fillId="0" borderId="0" xfId="17" applyFont="1"/>
    <xf numFmtId="49" fontId="41" fillId="0" borderId="0" xfId="16" applyNumberFormat="1" applyFont="1"/>
    <xf numFmtId="49" fontId="41" fillId="0" borderId="0" xfId="16" applyNumberFormat="1" applyFont="1" applyAlignment="1">
      <alignment horizontal="right"/>
    </xf>
    <xf numFmtId="49" fontId="41" fillId="0" borderId="0" xfId="16" applyNumberFormat="1" applyFont="1" applyAlignment="1">
      <alignment horizontal="right" vertical="top"/>
    </xf>
    <xf numFmtId="0" fontId="41" fillId="0" borderId="0" xfId="16" applyFont="1" applyAlignment="1">
      <alignment vertical="top"/>
    </xf>
    <xf numFmtId="0" fontId="41" fillId="0" borderId="0" xfId="16" applyFont="1" applyAlignment="1">
      <alignment vertical="top" wrapText="1"/>
    </xf>
    <xf numFmtId="0" fontId="41" fillId="0" borderId="0" xfId="16" applyFont="1" applyAlignment="1">
      <alignment horizontal="left" vertical="top"/>
    </xf>
    <xf numFmtId="0" fontId="41" fillId="0" borderId="0" xfId="16" applyFont="1" applyAlignment="1">
      <alignment horizontal="left" vertical="top" wrapText="1"/>
    </xf>
    <xf numFmtId="164" fontId="34" fillId="0" borderId="0" xfId="0" applyFont="1" applyProtection="1">
      <protection locked="0"/>
    </xf>
    <xf numFmtId="9" fontId="0" fillId="0" borderId="0" xfId="4" applyFont="1" applyAlignment="1"/>
    <xf numFmtId="43" fontId="5" fillId="0" borderId="0" xfId="1" applyFont="1" applyFill="1"/>
    <xf numFmtId="49" fontId="3" fillId="0" borderId="0" xfId="1" applyNumberFormat="1" applyFont="1" applyFill="1"/>
    <xf numFmtId="176" fontId="3" fillId="0" borderId="0" xfId="4" applyNumberFormat="1" applyFont="1" applyFill="1" applyAlignment="1">
      <alignment horizontal="right"/>
    </xf>
    <xf numFmtId="10" fontId="0" fillId="0" borderId="0" xfId="4" applyNumberFormat="1" applyFont="1" applyAlignment="1"/>
    <xf numFmtId="10" fontId="3" fillId="0" borderId="0" xfId="4" applyNumberFormat="1" applyFont="1" applyFill="1" applyAlignment="1">
      <alignment horizontal="right"/>
    </xf>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1" fillId="0" borderId="0" xfId="16" applyNumberFormat="1"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1" fontId="41" fillId="2" borderId="0" xfId="16" applyNumberFormat="1" applyFont="1" applyFill="1" applyAlignment="1">
      <alignment horizontal="center" wrapText="1"/>
    </xf>
    <xf numFmtId="49" fontId="41" fillId="2" borderId="60" xfId="17" applyNumberFormat="1" applyFont="1" applyFill="1" applyBorder="1" applyAlignment="1">
      <alignment horizontal="left"/>
    </xf>
    <xf numFmtId="165" fontId="3" fillId="2" borderId="60" xfId="17" applyNumberFormat="1" applyFont="1" applyFill="1" applyBorder="1"/>
    <xf numFmtId="165" fontId="41" fillId="2" borderId="60" xfId="17" applyNumberFormat="1" applyFont="1" applyFill="1" applyBorder="1" applyAlignment="1">
      <alignment wrapText="1"/>
    </xf>
    <xf numFmtId="165" fontId="41" fillId="2" borderId="60" xfId="17" applyNumberFormat="1" applyFont="1" applyFill="1" applyBorder="1"/>
    <xf numFmtId="49" fontId="41" fillId="2" borderId="61" xfId="17" applyNumberFormat="1" applyFont="1" applyFill="1" applyBorder="1"/>
    <xf numFmtId="165" fontId="41" fillId="0" borderId="62" xfId="17" applyNumberFormat="1" applyFont="1" applyBorder="1"/>
    <xf numFmtId="165" fontId="41" fillId="2" borderId="62" xfId="17" applyNumberFormat="1" applyFont="1" applyFill="1" applyBorder="1"/>
    <xf numFmtId="165" fontId="41" fillId="0" borderId="36" xfId="17" applyNumberFormat="1" applyFont="1" applyBorder="1" applyAlignment="1">
      <alignment horizontal="right"/>
    </xf>
    <xf numFmtId="179" fontId="41" fillId="0" borderId="36" xfId="19" applyNumberFormat="1" applyFont="1" applyBorder="1" applyAlignment="1"/>
    <xf numFmtId="165" fontId="41" fillId="0" borderId="0" xfId="17" applyNumberFormat="1" applyFont="1" applyBorder="1" applyAlignment="1"/>
    <xf numFmtId="49" fontId="41" fillId="0" borderId="0" xfId="16" applyNumberFormat="1" applyFont="1" applyAlignment="1">
      <alignment vertical="top" wrapText="1"/>
    </xf>
    <xf numFmtId="49" fontId="41" fillId="0" borderId="0" xfId="16" applyNumberFormat="1" applyFont="1" applyAlignment="1">
      <alignment vertical="top"/>
    </xf>
    <xf numFmtId="49" fontId="41" fillId="0" borderId="0" xfId="17" applyNumberFormat="1" applyFont="1" applyAlignment="1">
      <alignment horizontal="right"/>
    </xf>
    <xf numFmtId="49" fontId="41" fillId="0" borderId="0" xfId="17" applyNumberFormat="1" applyFont="1" applyAlignment="1">
      <alignment horizontal="right" vertical="top" wrapText="1"/>
    </xf>
    <xf numFmtId="49" fontId="41" fillId="0" borderId="0" xfId="17" applyNumberFormat="1" applyFont="1" applyAlignment="1">
      <alignment vertical="top" wrapText="1"/>
    </xf>
    <xf numFmtId="0" fontId="37" fillId="0" borderId="0" xfId="16" applyFont="1" applyAlignment="1">
      <alignment horizontal="right"/>
    </xf>
    <xf numFmtId="0" fontId="41" fillId="0" borderId="0" xfId="16" applyFont="1" applyAlignment="1">
      <alignment horizontal="right"/>
    </xf>
    <xf numFmtId="0" fontId="42" fillId="2" borderId="0" xfId="17" applyNumberFormat="1" applyFont="1" applyFill="1" applyBorder="1" applyAlignment="1">
      <alignment horizontal="center" wrapText="1"/>
    </xf>
    <xf numFmtId="0" fontId="41" fillId="0" borderId="64" xfId="16" applyFont="1" applyBorder="1"/>
    <xf numFmtId="165" fontId="41" fillId="2" borderId="64" xfId="1" applyNumberFormat="1" applyFont="1" applyFill="1" applyBorder="1"/>
    <xf numFmtId="165" fontId="41" fillId="0" borderId="64" xfId="1" applyNumberFormat="1" applyFont="1" applyBorder="1" applyAlignment="1"/>
    <xf numFmtId="165" fontId="41" fillId="0" borderId="61" xfId="1" applyNumberFormat="1" applyFont="1" applyBorder="1"/>
    <xf numFmtId="165" fontId="41" fillId="0" borderId="61" xfId="1" applyNumberFormat="1" applyFont="1" applyBorder="1" applyAlignment="1"/>
    <xf numFmtId="165" fontId="41" fillId="0" borderId="64" xfId="1" applyNumberFormat="1" applyFont="1" applyBorder="1"/>
    <xf numFmtId="165" fontId="41" fillId="0" borderId="61" xfId="1" applyNumberFormat="1" applyFont="1" applyBorder="1" applyAlignment="1">
      <alignment horizontal="center"/>
    </xf>
    <xf numFmtId="9" fontId="41" fillId="2" borderId="61" xfId="4" applyFont="1" applyFill="1" applyBorder="1"/>
    <xf numFmtId="165" fontId="41" fillId="2" borderId="61" xfId="1" applyNumberFormat="1" applyFont="1" applyFill="1" applyBorder="1" applyAlignment="1"/>
    <xf numFmtId="178" fontId="41" fillId="0" borderId="61" xfId="1" applyNumberFormat="1" applyFont="1" applyBorder="1"/>
    <xf numFmtId="0" fontId="19" fillId="2" borderId="61" xfId="16" applyFont="1" applyFill="1" applyBorder="1" applyAlignment="1">
      <alignment horizontal="right"/>
    </xf>
    <xf numFmtId="165" fontId="41" fillId="0" borderId="64" xfId="17" applyNumberFormat="1" applyFont="1" applyBorder="1"/>
    <xf numFmtId="0" fontId="41" fillId="0" borderId="61" xfId="16" applyFont="1" applyBorder="1" applyAlignment="1">
      <alignment horizontal="center"/>
    </xf>
    <xf numFmtId="10" fontId="41" fillId="2" borderId="61" xfId="18" applyNumberFormat="1" applyFont="1" applyFill="1" applyBorder="1"/>
    <xf numFmtId="43" fontId="41" fillId="2" borderId="61" xfId="1" applyFont="1" applyFill="1" applyBorder="1" applyAlignment="1"/>
    <xf numFmtId="43" fontId="41" fillId="0" borderId="61" xfId="17" applyFont="1" applyBorder="1"/>
    <xf numFmtId="0" fontId="41" fillId="0" borderId="62" xfId="16" applyFont="1" applyBorder="1"/>
    <xf numFmtId="0" fontId="41" fillId="0" borderId="62" xfId="16" applyFont="1" applyBorder="1" applyAlignment="1">
      <alignment horizontal="center"/>
    </xf>
    <xf numFmtId="10" fontId="41" fillId="2" borderId="62" xfId="18" applyNumberFormat="1" applyFont="1" applyFill="1" applyBorder="1"/>
    <xf numFmtId="43" fontId="41" fillId="2" borderId="62" xfId="1" applyFont="1" applyFill="1" applyBorder="1" applyAlignment="1"/>
    <xf numFmtId="43" fontId="41" fillId="0" borderId="62" xfId="17" applyFont="1" applyBorder="1"/>
    <xf numFmtId="165" fontId="41" fillId="2" borderId="62" xfId="1" applyNumberFormat="1" applyFont="1" applyFill="1" applyBorder="1"/>
    <xf numFmtId="178" fontId="41" fillId="0" borderId="62" xfId="1" applyNumberFormat="1" applyFont="1" applyBorder="1"/>
    <xf numFmtId="165" fontId="41" fillId="2" borderId="62" xfId="16" applyNumberFormat="1" applyFont="1" applyFill="1" applyBorder="1" applyAlignment="1">
      <alignment horizontal="right"/>
    </xf>
    <xf numFmtId="165" fontId="41" fillId="0" borderId="62" xfId="16" applyNumberFormat="1" applyFont="1" applyBorder="1"/>
    <xf numFmtId="0" fontId="41" fillId="2" borderId="62" xfId="16" applyFont="1" applyFill="1" applyBorder="1" applyAlignment="1">
      <alignment horizontal="right"/>
    </xf>
    <xf numFmtId="179" fontId="41" fillId="0" borderId="36" xfId="19" applyNumberFormat="1" applyFont="1" applyBorder="1"/>
    <xf numFmtId="165" fontId="41" fillId="0" borderId="0" xfId="16" applyNumberFormat="1" applyFont="1"/>
    <xf numFmtId="0" fontId="41" fillId="0" borderId="0" xfId="16" applyFont="1" applyAlignment="1">
      <alignment horizontal="left"/>
    </xf>
    <xf numFmtId="43" fontId="41" fillId="0" borderId="36" xfId="17" applyFont="1" applyBorder="1" applyAlignment="1"/>
    <xf numFmtId="43" fontId="41" fillId="0" borderId="0" xfId="16" applyNumberFormat="1" applyFont="1"/>
    <xf numFmtId="0" fontId="19" fillId="0" borderId="0" xfId="16" applyFont="1" applyAlignment="1">
      <alignment vertical="top"/>
    </xf>
    <xf numFmtId="49" fontId="41" fillId="0" borderId="0" xfId="16" applyNumberFormat="1" applyFont="1" applyAlignment="1">
      <alignment horizontal="right" vertical="top" wrapText="1"/>
    </xf>
    <xf numFmtId="0" fontId="37" fillId="0" borderId="0" xfId="16" applyFont="1" applyAlignment="1">
      <alignment horizontal="center"/>
    </xf>
    <xf numFmtId="165" fontId="37" fillId="0" borderId="0" xfId="17" applyNumberFormat="1" applyFont="1" applyAlignment="1"/>
    <xf numFmtId="0" fontId="45" fillId="0" borderId="0" xfId="6" applyFont="1"/>
    <xf numFmtId="0" fontId="46" fillId="0" borderId="0" xfId="6" applyFont="1"/>
    <xf numFmtId="164" fontId="45" fillId="0" borderId="0" xfId="0" applyFont="1"/>
    <xf numFmtId="164" fontId="46" fillId="0" borderId="0" xfId="0" applyFont="1"/>
    <xf numFmtId="164" fontId="45" fillId="0" borderId="0" xfId="0" applyFont="1" applyAlignment="1">
      <alignment horizontal="center"/>
    </xf>
    <xf numFmtId="164" fontId="46" fillId="0" borderId="0" xfId="0" applyFont="1" applyAlignment="1">
      <alignment horizontal="left" vertical="center"/>
    </xf>
    <xf numFmtId="1" fontId="45" fillId="4" borderId="0" xfId="0" applyNumberFormat="1" applyFont="1" applyFill="1" applyAlignment="1">
      <alignment horizontal="center" vertical="center"/>
    </xf>
    <xf numFmtId="1" fontId="45" fillId="0" borderId="0" xfId="0" applyNumberFormat="1" applyFont="1" applyAlignment="1">
      <alignment horizontal="center" vertical="center"/>
    </xf>
    <xf numFmtId="0" fontId="45" fillId="0" borderId="0" xfId="0" applyNumberFormat="1" applyFont="1" applyAlignment="1">
      <alignment horizontal="center" vertical="center"/>
    </xf>
    <xf numFmtId="164" fontId="45" fillId="0" borderId="0" xfId="0" applyFont="1" applyAlignment="1">
      <alignment horizontal="center" vertical="center"/>
    </xf>
    <xf numFmtId="165" fontId="45" fillId="0" borderId="0" xfId="1" applyNumberFormat="1" applyFont="1" applyFill="1" applyAlignment="1">
      <alignment horizontal="center" vertical="center"/>
    </xf>
    <xf numFmtId="165" fontId="45" fillId="4" borderId="0" xfId="1" applyNumberFormat="1" applyFont="1" applyFill="1" applyAlignment="1"/>
    <xf numFmtId="165" fontId="45" fillId="0" borderId="0" xfId="1" applyNumberFormat="1" applyFont="1" applyFill="1" applyAlignment="1"/>
    <xf numFmtId="164" fontId="35" fillId="0" borderId="0" xfId="0" applyFont="1"/>
    <xf numFmtId="0" fontId="35" fillId="0" borderId="0" xfId="0" quotePrefix="1" applyNumberFormat="1" applyFont="1" applyAlignment="1">
      <alignment horizontal="center" vertical="top" wrapText="1"/>
    </xf>
    <xf numFmtId="49" fontId="3" fillId="0" borderId="0" xfId="0" applyNumberFormat="1" applyFont="1" applyAlignment="1">
      <alignment horizontal="left" wrapText="1"/>
    </xf>
    <xf numFmtId="0" fontId="5" fillId="0" borderId="0" xfId="5" applyFont="1" applyAlignment="1">
      <alignment horizontal="center"/>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164" fontId="13" fillId="0" borderId="0" xfId="0" applyFont="1" applyAlignment="1">
      <alignment horizontal="center"/>
    </xf>
    <xf numFmtId="0" fontId="3" fillId="0" borderId="0" xfId="5" applyFont="1" applyAlignment="1">
      <alignment horizontal="left" wrapText="1"/>
    </xf>
    <xf numFmtId="164" fontId="3" fillId="0" borderId="0" xfId="0" applyFont="1" applyAlignment="1">
      <alignment horizontal="center"/>
    </xf>
    <xf numFmtId="0" fontId="3" fillId="0" borderId="0" xfId="5" applyFont="1" applyAlignment="1" applyProtection="1">
      <alignment horizontal="left"/>
      <protection locked="0"/>
    </xf>
    <xf numFmtId="0" fontId="3" fillId="0" borderId="0" xfId="5" applyFont="1" applyAlignment="1" applyProtection="1">
      <alignment horizontal="left" wrapText="1"/>
      <protection locked="0"/>
    </xf>
    <xf numFmtId="164" fontId="3" fillId="0" borderId="0" xfId="0" applyFont="1" applyAlignment="1">
      <alignment vertical="top" wrapText="1"/>
    </xf>
    <xf numFmtId="164" fontId="3" fillId="0" borderId="0" xfId="0" applyFont="1" applyAlignment="1">
      <alignment horizontal="left"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5" xfId="6" applyFont="1" applyFill="1" applyBorder="1" applyAlignment="1">
      <alignment horizontal="center"/>
    </xf>
    <xf numFmtId="0" fontId="12" fillId="5" borderId="6" xfId="6" applyFont="1" applyFill="1" applyBorder="1" applyAlignment="1">
      <alignment horizontal="center"/>
    </xf>
    <xf numFmtId="0" fontId="12" fillId="5" borderId="7"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165" fontId="3" fillId="0" borderId="11"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2" xfId="7" applyNumberFormat="1" applyFont="1" applyFill="1" applyBorder="1" applyAlignment="1">
      <alignment horizontal="left"/>
    </xf>
    <xf numFmtId="0" fontId="23" fillId="5" borderId="13" xfId="6" applyFont="1" applyFill="1" applyBorder="1" applyAlignment="1">
      <alignment horizontal="center"/>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4" xfId="6" applyFont="1" applyFill="1" applyBorder="1" applyAlignment="1">
      <alignment horizontal="center" wrapText="1"/>
    </xf>
    <xf numFmtId="0" fontId="3" fillId="0" borderId="14" xfId="6" applyFont="1" applyBorder="1" applyAlignment="1">
      <alignment horizontal="center" wrapText="1"/>
    </xf>
    <xf numFmtId="0" fontId="3" fillId="0" borderId="15" xfId="6" applyFont="1" applyBorder="1" applyAlignment="1">
      <alignment horizontal="center" wrapText="1"/>
    </xf>
    <xf numFmtId="0" fontId="3" fillId="0" borderId="1" xfId="6" applyFont="1" applyBorder="1" applyAlignment="1">
      <alignment horizontal="center" wrapText="1"/>
    </xf>
    <xf numFmtId="0" fontId="3" fillId="0" borderId="12" xfId="6" applyFont="1" applyBorder="1" applyAlignment="1">
      <alignment horizontal="center" wrapText="1"/>
    </xf>
    <xf numFmtId="0" fontId="23" fillId="5" borderId="5" xfId="6" applyFont="1" applyFill="1" applyBorder="1" applyAlignment="1">
      <alignment horizontal="center"/>
    </xf>
    <xf numFmtId="0" fontId="23" fillId="5" borderId="6" xfId="6" applyFont="1" applyFill="1" applyBorder="1" applyAlignment="1">
      <alignment horizontal="center"/>
    </xf>
    <xf numFmtId="0" fontId="23" fillId="5" borderId="6" xfId="6" applyFont="1" applyFill="1" applyBorder="1" applyAlignment="1">
      <alignment horizontal="center" wrapText="1"/>
    </xf>
    <xf numFmtId="0" fontId="3" fillId="0" borderId="6" xfId="6" applyFont="1" applyBorder="1" applyAlignment="1">
      <alignment horizontal="center" wrapText="1"/>
    </xf>
    <xf numFmtId="0" fontId="3" fillId="0" borderId="7" xfId="6" applyFont="1" applyBorder="1" applyAlignment="1">
      <alignment horizontal="center" wrapText="1"/>
    </xf>
    <xf numFmtId="0" fontId="5" fillId="0" borderId="5" xfId="6" applyFont="1" applyBorder="1" applyAlignment="1">
      <alignment horizontal="center"/>
    </xf>
    <xf numFmtId="0" fontId="5" fillId="0" borderId="6" xfId="6" applyFont="1" applyBorder="1" applyAlignment="1">
      <alignment horizontal="center"/>
    </xf>
    <xf numFmtId="0" fontId="5" fillId="0" borderId="7" xfId="6" applyFont="1" applyBorder="1" applyAlignment="1">
      <alignment horizontal="center"/>
    </xf>
    <xf numFmtId="0" fontId="5" fillId="0" borderId="6" xfId="6" applyFont="1" applyBorder="1" applyAlignment="1">
      <alignment horizontal="center" wrapText="1"/>
    </xf>
    <xf numFmtId="0" fontId="5" fillId="0" borderId="7" xfId="6" applyFont="1" applyBorder="1" applyAlignment="1">
      <alignment horizontal="center" wrapText="1"/>
    </xf>
    <xf numFmtId="0" fontId="3" fillId="5" borderId="6" xfId="6" applyFont="1" applyFill="1" applyBorder="1" applyAlignment="1">
      <alignment horizontal="center" wrapText="1"/>
    </xf>
    <xf numFmtId="0" fontId="3" fillId="5" borderId="7"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9" xfId="6" applyFont="1" applyBorder="1" applyAlignment="1">
      <alignment horizontal="center" wrapText="1"/>
    </xf>
    <xf numFmtId="0" fontId="23" fillId="5" borderId="8"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0" borderId="5" xfId="6" applyFont="1" applyBorder="1" applyAlignment="1">
      <alignment horizontal="center"/>
    </xf>
    <xf numFmtId="0" fontId="23" fillId="0" borderId="6" xfId="6" applyFont="1" applyBorder="1" applyAlignment="1">
      <alignment horizontal="center"/>
    </xf>
    <xf numFmtId="0" fontId="23" fillId="0" borderId="6" xfId="6" applyFont="1" applyBorder="1" applyAlignment="1">
      <alignment horizontal="center" wrapText="1"/>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12" fillId="5" borderId="6" xfId="6" applyFont="1" applyFill="1" applyBorder="1" applyAlignment="1">
      <alignment horizontal="center" wrapText="1"/>
    </xf>
    <xf numFmtId="0" fontId="12" fillId="5" borderId="7" xfId="6" applyFont="1" applyFill="1" applyBorder="1" applyAlignment="1">
      <alignment horizontal="center" wrapText="1"/>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5" fontId="3" fillId="4" borderId="18" xfId="1" applyNumberFormat="1" applyFont="1" applyFill="1" applyBorder="1" applyAlignment="1">
      <alignment horizontal="center"/>
    </xf>
    <xf numFmtId="0" fontId="3" fillId="0" borderId="0" xfId="12" applyFont="1" applyAlignment="1">
      <alignment horizontal="center"/>
    </xf>
    <xf numFmtId="0" fontId="5" fillId="0" borderId="0" xfId="12" applyFont="1" applyAlignment="1">
      <alignment horizontal="center"/>
    </xf>
    <xf numFmtId="164" fontId="13" fillId="0" borderId="0" xfId="0" applyFont="1"/>
    <xf numFmtId="0" fontId="3" fillId="0" borderId="32"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33" xfId="0" applyNumberFormat="1" applyFont="1" applyBorder="1" applyAlignment="1">
      <alignment horizontal="center" wrapText="1"/>
    </xf>
    <xf numFmtId="164" fontId="3" fillId="0" borderId="18" xfId="0" applyFont="1" applyBorder="1" applyAlignment="1">
      <alignment horizontal="center"/>
    </xf>
    <xf numFmtId="164" fontId="3" fillId="4" borderId="18" xfId="0" applyFont="1" applyFill="1" applyBorder="1" applyAlignment="1">
      <alignment horizontal="center"/>
    </xf>
    <xf numFmtId="0" fontId="3" fillId="0" borderId="30" xfId="12" applyFont="1" applyBorder="1" applyAlignment="1">
      <alignment horizontal="center"/>
    </xf>
    <xf numFmtId="0" fontId="3" fillId="0" borderId="31" xfId="12" applyFont="1" applyBorder="1" applyAlignment="1">
      <alignment horizontal="center"/>
    </xf>
    <xf numFmtId="164" fontId="3" fillId="0" borderId="18" xfId="0" applyFont="1" applyBorder="1" applyAlignment="1">
      <alignment horizontal="center" wrapText="1"/>
    </xf>
    <xf numFmtId="0" fontId="3" fillId="0" borderId="0" xfId="12" applyFont="1" applyAlignment="1">
      <alignment horizontal="left"/>
    </xf>
    <xf numFmtId="165" fontId="3" fillId="0" borderId="36" xfId="1" applyNumberFormat="1" applyFont="1" applyBorder="1" applyAlignment="1">
      <alignment horizontal="center"/>
    </xf>
    <xf numFmtId="164" fontId="28" fillId="9" borderId="0" xfId="14" applyFont="1" applyFill="1" applyAlignment="1">
      <alignment horizontal="left" vertical="top" wrapText="1"/>
    </xf>
    <xf numFmtId="0" fontId="3" fillId="0" borderId="0" xfId="12" applyFont="1" applyAlignment="1">
      <alignment horizontal="left" wrapText="1"/>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10" borderId="0" xfId="12" applyFont="1" applyFill="1" applyAlignment="1">
      <alignment horizontal="center"/>
    </xf>
    <xf numFmtId="0" fontId="3" fillId="0" borderId="0" xfId="12" applyFont="1" applyAlignment="1">
      <alignment wrapText="1"/>
    </xf>
    <xf numFmtId="0" fontId="6" fillId="0" borderId="0" xfId="12" applyFont="1" applyAlignment="1">
      <alignment horizontal="center"/>
    </xf>
    <xf numFmtId="0" fontId="6" fillId="0" borderId="0" xfId="12" applyFont="1"/>
    <xf numFmtId="0" fontId="35" fillId="0" borderId="5" xfId="12" applyFont="1" applyBorder="1" applyAlignment="1">
      <alignment horizontal="center"/>
    </xf>
    <xf numFmtId="0" fontId="35" fillId="0" borderId="6" xfId="12" applyFont="1" applyBorder="1" applyAlignment="1">
      <alignment horizontal="center"/>
    </xf>
    <xf numFmtId="0" fontId="35" fillId="0" borderId="7" xfId="12" applyFont="1" applyBorder="1" applyAlignment="1">
      <alignment horizontal="center"/>
    </xf>
    <xf numFmtId="0" fontId="35" fillId="0" borderId="0" xfId="12" applyFont="1" applyAlignment="1">
      <alignment horizontal="center"/>
    </xf>
    <xf numFmtId="164" fontId="38" fillId="0" borderId="0" xfId="0" applyFont="1" applyAlignment="1">
      <alignment horizontal="center"/>
    </xf>
    <xf numFmtId="0" fontId="39" fillId="0" borderId="3" xfId="16" applyFont="1" applyBorder="1" applyAlignment="1">
      <alignment horizontal="center" wrapText="1"/>
    </xf>
    <xf numFmtId="0" fontId="39" fillId="0" borderId="0" xfId="16" applyFont="1" applyAlignment="1">
      <alignment horizontal="left" wrapText="1"/>
    </xf>
    <xf numFmtId="0" fontId="39" fillId="0" borderId="3" xfId="16" applyFont="1" applyBorder="1" applyAlignment="1">
      <alignment horizontal="left" wrapText="1"/>
    </xf>
    <xf numFmtId="49" fontId="37" fillId="0" borderId="0" xfId="16" applyNumberFormat="1" applyFont="1" applyAlignment="1">
      <alignment horizontal="left" vertical="top" wrapText="1"/>
    </xf>
    <xf numFmtId="49" fontId="37" fillId="0" borderId="0" xfId="17" applyNumberFormat="1" applyFont="1" applyAlignment="1">
      <alignment horizontal="left" vertical="top" wrapText="1"/>
    </xf>
    <xf numFmtId="165" fontId="37" fillId="0" borderId="62" xfId="17" applyNumberFormat="1" applyFont="1" applyBorder="1" applyAlignment="1">
      <alignment horizontal="right"/>
    </xf>
    <xf numFmtId="164" fontId="6" fillId="0" borderId="0" xfId="0" applyFont="1" applyAlignment="1">
      <alignment horizontal="center"/>
    </xf>
    <xf numFmtId="0" fontId="42" fillId="0" borderId="0" xfId="16" applyFont="1" applyAlignment="1">
      <alignment horizontal="center" wrapText="1"/>
    </xf>
    <xf numFmtId="0" fontId="42" fillId="0" borderId="3" xfId="16" applyFont="1" applyBorder="1" applyAlignment="1">
      <alignment horizontal="center" wrapText="1"/>
    </xf>
    <xf numFmtId="43" fontId="41" fillId="0" borderId="62" xfId="17" applyFont="1" applyBorder="1" applyAlignment="1">
      <alignment horizontal="right"/>
    </xf>
    <xf numFmtId="43" fontId="41" fillId="0" borderId="0" xfId="17" applyFont="1" applyAlignment="1">
      <alignment horizontal="right"/>
    </xf>
    <xf numFmtId="0" fontId="41" fillId="0" borderId="0" xfId="16" applyFont="1" applyAlignment="1">
      <alignment horizontal="left" vertical="top" wrapText="1"/>
    </xf>
    <xf numFmtId="164" fontId="3" fillId="0" borderId="0" xfId="0" applyFont="1" applyAlignment="1">
      <alignment horizontal="left" vertical="center" wrapText="1"/>
    </xf>
    <xf numFmtId="49" fontId="41" fillId="0" borderId="0" xfId="16" applyNumberFormat="1" applyFont="1" applyAlignment="1">
      <alignment horizontal="left" vertical="top" wrapText="1"/>
    </xf>
    <xf numFmtId="0" fontId="41" fillId="0" borderId="3" xfId="16" applyFont="1" applyBorder="1" applyAlignment="1">
      <alignment horizontal="center" wrapText="1"/>
    </xf>
    <xf numFmtId="0" fontId="41" fillId="0" borderId="0" xfId="16" applyFont="1" applyAlignment="1">
      <alignment horizontal="left" wrapText="1"/>
    </xf>
    <xf numFmtId="0" fontId="41" fillId="0" borderId="3" xfId="16" applyFont="1" applyBorder="1" applyAlignment="1">
      <alignment horizontal="left" wrapText="1"/>
    </xf>
    <xf numFmtId="0" fontId="42" fillId="0" borderId="3" xfId="16" applyFont="1" applyBorder="1" applyAlignment="1">
      <alignment wrapText="1"/>
    </xf>
    <xf numFmtId="165" fontId="41" fillId="0" borderId="36" xfId="17" applyNumberFormat="1" applyFont="1" applyBorder="1" applyAlignment="1">
      <alignment horizontal="right"/>
    </xf>
    <xf numFmtId="164" fontId="35" fillId="0" borderId="0" xfId="0" applyFont="1" applyAlignment="1">
      <alignment horizontal="left" vertical="top" wrapText="1"/>
    </xf>
  </cellXfs>
  <cellStyles count="20">
    <cellStyle name="Comma" xfId="1" builtinId="3"/>
    <cellStyle name="Comma [0]" xfId="2" builtinId="6"/>
    <cellStyle name="Comma 2 2" xfId="7" xr:uid="{728FE282-44EB-40DF-8A25-34E88DA96D92}"/>
    <cellStyle name="Comma 6" xfId="17" xr:uid="{504119F9-C12F-4477-AFCA-67CB9B0CCD90}"/>
    <cellStyle name="Currency" xfId="3" builtinId="4"/>
    <cellStyle name="Currency 4" xfId="19" xr:uid="{F1F39DEF-4381-42B2-9A32-40F5E8F71749}"/>
    <cellStyle name="Normal" xfId="0" builtinId="0"/>
    <cellStyle name="Normal 2" xfId="12" xr:uid="{661EFDBD-6EBC-49B3-BA11-B7DDE6565812}"/>
    <cellStyle name="Normal 3 2" xfId="6" xr:uid="{EA10A623-5846-4A28-9B6E-263E9DED78D1}"/>
    <cellStyle name="Normal 3_Attach O, GG, Support -New Method 2-14-11" xfId="11" xr:uid="{3DD9A138-133C-4689-AB52-D1E1F695A938}"/>
    <cellStyle name="Normal 7" xfId="9" xr:uid="{B65AA51E-5E27-4F6E-BBD2-7A2715228007}"/>
    <cellStyle name="Normal 8" xfId="16" xr:uid="{AB06023D-8666-4376-8C54-249B3F29A701}"/>
    <cellStyle name="Normal_21 Exh B" xfId="5" xr:uid="{A62F8F77-2DF0-43E3-AE4B-CDB17F261382}"/>
    <cellStyle name="Normal_AR workpaper --2002 Def Tax Exp by Account 8-14-02" xfId="15" xr:uid="{E3F6B17C-6F2D-438F-87A5-59D0975555DF}"/>
    <cellStyle name="Normal_Attachment GG Template ER11-28 11-18-10" xfId="14" xr:uid="{6AB6F4AD-298B-41D3-8BC4-F55B27ED9CEF}"/>
    <cellStyle name="Normal_Attachment Os for 2002 True-up" xfId="10" xr:uid="{301A3045-4FA1-440C-908C-3045A2273257}"/>
    <cellStyle name="Normal_TrAILCo attach 6 &amp; 7 and Appendix A" xfId="13" xr:uid="{192973B7-618F-4968-96B6-FEDAB78EB709}"/>
    <cellStyle name="Percent" xfId="4" builtinId="5"/>
    <cellStyle name="Percent 2 2" xfId="8" xr:uid="{23D9FAEC-E65C-4DB1-BD82-518906B53E1D}"/>
    <cellStyle name="Percent 5" xfId="18" xr:uid="{87510DE0-7421-41B0-8325-D4C5715558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2CA5-BFFE-4979-8359-161F8CF8DD0C}">
  <sheetPr>
    <pageSetUpPr fitToPage="1"/>
  </sheetPr>
  <dimension ref="A1:IV470"/>
  <sheetViews>
    <sheetView tabSelected="1" view="pageBreakPreview" topLeftCell="D31" zoomScaleNormal="100" zoomScaleSheetLayoutView="100" workbookViewId="0">
      <selection activeCell="F189" sqref="F189"/>
    </sheetView>
  </sheetViews>
  <sheetFormatPr defaultColWidth="8.6640625" defaultRowHeight="15.75"/>
  <cols>
    <col min="1" max="1" width="6" style="5" customWidth="1"/>
    <col min="2" max="2" width="1.44140625" style="5" customWidth="1"/>
    <col min="3" max="3" width="41.21875" style="5" customWidth="1"/>
    <col min="4" max="4" width="26.44140625" style="5" customWidth="1"/>
    <col min="5" max="5" width="16.44140625" style="5" customWidth="1"/>
    <col min="6" max="7" width="7.88671875" style="5" customWidth="1"/>
    <col min="8" max="8" width="13.5546875" style="5" customWidth="1"/>
    <col min="9" max="9" width="6.88671875" style="5" customWidth="1"/>
    <col min="10" max="10" width="15.6640625" style="5" customWidth="1"/>
    <col min="11" max="11" width="9.6640625" style="5" bestFit="1" customWidth="1"/>
    <col min="12" max="12" width="12" style="5" bestFit="1" customWidth="1"/>
    <col min="13" max="13" width="14.44140625" style="5" customWidth="1"/>
    <col min="14" max="14" width="17" style="4" bestFit="1" customWidth="1"/>
    <col min="15" max="15" width="2.109375" style="4" customWidth="1"/>
    <col min="16" max="16384" width="8.6640625" style="4"/>
  </cols>
  <sheetData>
    <row r="1" spans="1:13">
      <c r="A1" s="1"/>
      <c r="B1" s="1"/>
      <c r="C1" s="1"/>
      <c r="D1" s="1"/>
      <c r="E1" s="2"/>
      <c r="F1" s="1"/>
      <c r="G1" s="1"/>
      <c r="H1" s="1"/>
      <c r="I1" s="1"/>
      <c r="J1" s="3"/>
      <c r="K1" s="3"/>
      <c r="L1" s="3"/>
      <c r="M1" s="3"/>
    </row>
    <row r="2" spans="1:13">
      <c r="A2" s="1"/>
      <c r="B2" s="1"/>
      <c r="C2" s="1"/>
      <c r="D2" s="1"/>
      <c r="E2" s="2"/>
      <c r="F2" s="1"/>
      <c r="G2" s="1"/>
      <c r="H2" s="1"/>
      <c r="I2" s="1"/>
      <c r="K2" s="3"/>
      <c r="L2" s="3"/>
      <c r="M2" s="3" t="s">
        <v>0</v>
      </c>
    </row>
    <row r="3" spans="1:13">
      <c r="C3" s="1"/>
      <c r="D3" s="1"/>
      <c r="E3" s="2"/>
      <c r="F3" s="1"/>
      <c r="G3" s="1"/>
      <c r="H3" s="1"/>
      <c r="I3" s="1"/>
      <c r="J3" s="3"/>
      <c r="K3" s="6"/>
      <c r="L3" s="6"/>
      <c r="M3" s="6" t="s">
        <v>1</v>
      </c>
    </row>
    <row r="4" spans="1:13">
      <c r="C4" s="1"/>
      <c r="D4" s="1"/>
      <c r="E4" s="2"/>
      <c r="F4" s="1"/>
      <c r="G4" s="1"/>
      <c r="H4" s="1"/>
      <c r="I4" s="1"/>
      <c r="J4" s="1"/>
    </row>
    <row r="5" spans="1:13">
      <c r="D5" s="7"/>
      <c r="E5" s="7" t="s">
        <v>2</v>
      </c>
      <c r="F5" s="1"/>
      <c r="G5" s="1"/>
      <c r="H5" s="1"/>
      <c r="I5" s="1"/>
    </row>
    <row r="6" spans="1:13">
      <c r="C6" s="1"/>
      <c r="D6" s="8" t="s">
        <v>3</v>
      </c>
      <c r="E6" s="8" t="s">
        <v>4</v>
      </c>
      <c r="F6" s="8"/>
      <c r="G6" s="8"/>
      <c r="H6" s="8"/>
      <c r="I6" s="1"/>
      <c r="J6" s="9"/>
      <c r="K6" s="10"/>
      <c r="L6" s="10"/>
      <c r="M6" s="11" t="s">
        <v>5</v>
      </c>
    </row>
    <row r="7" spans="1:13">
      <c r="D7" s="854" t="s">
        <v>6</v>
      </c>
      <c r="E7" s="855"/>
      <c r="F7" s="855"/>
      <c r="G7" s="855"/>
      <c r="H7" s="855"/>
      <c r="K7" s="12"/>
      <c r="L7" s="13"/>
      <c r="M7" s="14" t="s">
        <v>1010</v>
      </c>
    </row>
    <row r="8" spans="1:13">
      <c r="D8" s="854" t="s">
        <v>7</v>
      </c>
      <c r="E8" s="856"/>
      <c r="F8" s="856"/>
      <c r="G8" s="856"/>
      <c r="H8" s="15"/>
      <c r="K8" s="16"/>
      <c r="M8" s="17"/>
    </row>
    <row r="9" spans="1:13">
      <c r="A9" s="18"/>
      <c r="D9" s="19"/>
      <c r="E9" s="20"/>
      <c r="F9" s="21"/>
      <c r="G9" s="21"/>
      <c r="H9" s="21"/>
      <c r="M9" s="6"/>
    </row>
    <row r="10" spans="1:13">
      <c r="A10" s="18"/>
      <c r="D10" s="19"/>
      <c r="F10" s="21"/>
      <c r="G10" s="21"/>
      <c r="H10" s="21"/>
      <c r="M10" s="6"/>
    </row>
    <row r="11" spans="1:13">
      <c r="A11" s="18"/>
      <c r="D11" s="19"/>
      <c r="E11" s="22"/>
      <c r="F11" s="21"/>
      <c r="G11" s="21"/>
      <c r="H11" s="21"/>
      <c r="M11" s="6"/>
    </row>
    <row r="12" spans="1:13">
      <c r="A12" s="18"/>
      <c r="C12" s="23" t="s">
        <v>8</v>
      </c>
      <c r="E12" s="23"/>
      <c r="F12" s="21"/>
      <c r="G12" s="21"/>
      <c r="H12" s="21"/>
      <c r="M12" s="6"/>
    </row>
    <row r="13" spans="1:13">
      <c r="A13" s="18"/>
      <c r="C13" s="23"/>
      <c r="D13" s="23"/>
      <c r="E13" s="23"/>
      <c r="F13" s="21"/>
      <c r="G13" s="21"/>
      <c r="H13" s="21"/>
      <c r="M13" s="6"/>
    </row>
    <row r="14" spans="1:13">
      <c r="A14" s="18"/>
      <c r="C14" s="23" t="s">
        <v>9</v>
      </c>
      <c r="D14" s="23" t="s">
        <v>10</v>
      </c>
      <c r="E14" s="23" t="s">
        <v>11</v>
      </c>
      <c r="F14" s="21"/>
      <c r="G14" s="21"/>
      <c r="H14" s="21"/>
      <c r="M14" s="6"/>
    </row>
    <row r="15" spans="1:13">
      <c r="A15" s="18"/>
      <c r="C15" s="23" t="s">
        <v>12</v>
      </c>
      <c r="D15" s="24">
        <v>1</v>
      </c>
      <c r="E15" s="23" t="s">
        <v>13</v>
      </c>
      <c r="F15" s="21"/>
      <c r="G15" s="21"/>
      <c r="H15" s="21"/>
      <c r="M15" s="6"/>
    </row>
    <row r="16" spans="1:13">
      <c r="A16" s="18"/>
      <c r="C16" s="23" t="s">
        <v>12</v>
      </c>
      <c r="D16" s="24">
        <f>+D15+1</f>
        <v>2</v>
      </c>
      <c r="E16" s="23" t="s">
        <v>14</v>
      </c>
      <c r="F16" s="21"/>
      <c r="G16" s="21"/>
      <c r="H16" s="21"/>
      <c r="M16" s="6"/>
    </row>
    <row r="17" spans="1:13">
      <c r="A17" s="18"/>
      <c r="C17" s="23" t="s">
        <v>12</v>
      </c>
      <c r="D17" s="24">
        <f t="shared" ref="D17:D27" si="0">+D16+1</f>
        <v>3</v>
      </c>
      <c r="E17" s="23" t="s">
        <v>15</v>
      </c>
      <c r="F17" s="21"/>
      <c r="G17" s="21"/>
      <c r="H17" s="21"/>
      <c r="M17" s="6"/>
    </row>
    <row r="18" spans="1:13">
      <c r="A18" s="18"/>
      <c r="C18" s="23" t="s">
        <v>12</v>
      </c>
      <c r="D18" s="24">
        <f t="shared" si="0"/>
        <v>4</v>
      </c>
      <c r="E18" s="23" t="s">
        <v>16</v>
      </c>
      <c r="F18" s="21"/>
      <c r="G18" s="21"/>
      <c r="H18" s="21"/>
      <c r="M18" s="6"/>
    </row>
    <row r="19" spans="1:13">
      <c r="A19" s="18"/>
      <c r="C19" s="23" t="s">
        <v>12</v>
      </c>
      <c r="D19" s="24">
        <f t="shared" si="0"/>
        <v>5</v>
      </c>
      <c r="E19" s="23" t="s">
        <v>17</v>
      </c>
      <c r="F19" s="21"/>
      <c r="G19" s="21"/>
      <c r="H19" s="21"/>
      <c r="M19" s="6"/>
    </row>
    <row r="20" spans="1:13">
      <c r="A20" s="18"/>
      <c r="C20" s="23" t="s">
        <v>12</v>
      </c>
      <c r="D20" s="24" t="s">
        <v>18</v>
      </c>
      <c r="E20" s="23" t="s">
        <v>19</v>
      </c>
      <c r="F20" s="21"/>
      <c r="G20" s="21"/>
      <c r="H20" s="21"/>
      <c r="M20" s="6"/>
    </row>
    <row r="21" spans="1:13">
      <c r="A21" s="18"/>
      <c r="C21" s="23" t="s">
        <v>12</v>
      </c>
      <c r="D21" s="24" t="s">
        <v>20</v>
      </c>
      <c r="E21" s="23" t="s">
        <v>21</v>
      </c>
      <c r="F21" s="21"/>
      <c r="G21" s="21"/>
      <c r="H21" s="21"/>
      <c r="M21" s="6"/>
    </row>
    <row r="22" spans="1:13">
      <c r="A22" s="18"/>
      <c r="C22" s="23" t="s">
        <v>12</v>
      </c>
      <c r="D22" s="24" t="s">
        <v>22</v>
      </c>
      <c r="E22" s="23" t="s">
        <v>23</v>
      </c>
      <c r="F22" s="21"/>
      <c r="G22" s="21"/>
      <c r="H22" s="21"/>
      <c r="M22" s="6"/>
    </row>
    <row r="23" spans="1:13">
      <c r="A23" s="18"/>
      <c r="C23" s="23" t="s">
        <v>12</v>
      </c>
      <c r="D23" s="24" t="s">
        <v>24</v>
      </c>
      <c r="E23" s="23" t="s">
        <v>25</v>
      </c>
      <c r="F23" s="21"/>
      <c r="G23" s="21"/>
      <c r="H23" s="21"/>
      <c r="M23" s="6"/>
    </row>
    <row r="24" spans="1:13">
      <c r="A24" s="18"/>
      <c r="C24" s="23" t="s">
        <v>12</v>
      </c>
      <c r="D24" s="24" t="s">
        <v>26</v>
      </c>
      <c r="E24" s="23" t="s">
        <v>27</v>
      </c>
      <c r="F24" s="21"/>
      <c r="G24" s="21"/>
      <c r="H24" s="21"/>
      <c r="M24" s="6"/>
    </row>
    <row r="25" spans="1:13">
      <c r="A25" s="18"/>
      <c r="C25" s="23" t="s">
        <v>12</v>
      </c>
      <c r="D25" s="24" t="s">
        <v>28</v>
      </c>
      <c r="E25" s="23" t="s">
        <v>29</v>
      </c>
      <c r="F25" s="21"/>
      <c r="G25" s="21"/>
      <c r="H25" s="21"/>
      <c r="M25" s="6"/>
    </row>
    <row r="26" spans="1:13">
      <c r="A26" s="18"/>
      <c r="C26" s="23" t="s">
        <v>12</v>
      </c>
      <c r="D26" s="24" t="s">
        <v>30</v>
      </c>
      <c r="E26" s="5" t="s">
        <v>31</v>
      </c>
      <c r="F26" s="21"/>
      <c r="G26" s="21"/>
      <c r="H26" s="21"/>
      <c r="M26" s="6"/>
    </row>
    <row r="27" spans="1:13">
      <c r="A27" s="18"/>
      <c r="C27" s="23" t="s">
        <v>12</v>
      </c>
      <c r="D27" s="24">
        <f t="shared" si="0"/>
        <v>8</v>
      </c>
      <c r="E27" s="23" t="s">
        <v>32</v>
      </c>
      <c r="F27" s="21"/>
      <c r="G27" s="21"/>
      <c r="H27" s="21"/>
      <c r="M27" s="6"/>
    </row>
    <row r="28" spans="1:13">
      <c r="A28" s="18"/>
      <c r="C28" s="23" t="s">
        <v>12</v>
      </c>
      <c r="D28" s="16">
        <v>9</v>
      </c>
      <c r="E28" s="23" t="s">
        <v>33</v>
      </c>
    </row>
    <row r="29" spans="1:13">
      <c r="A29" s="18"/>
      <c r="C29" s="23" t="s">
        <v>12</v>
      </c>
      <c r="D29" s="25">
        <v>10</v>
      </c>
      <c r="E29" s="23" t="s">
        <v>34</v>
      </c>
    </row>
    <row r="30" spans="1:13">
      <c r="A30" s="18"/>
      <c r="C30" s="23" t="s">
        <v>12</v>
      </c>
      <c r="D30" s="25">
        <v>11</v>
      </c>
      <c r="E30" s="23" t="s">
        <v>35</v>
      </c>
    </row>
    <row r="31" spans="1:13">
      <c r="A31" s="18"/>
      <c r="C31" s="23" t="s">
        <v>12</v>
      </c>
      <c r="D31" s="25">
        <v>12</v>
      </c>
      <c r="E31" s="23" t="s">
        <v>36</v>
      </c>
    </row>
    <row r="32" spans="1:13">
      <c r="A32" s="18"/>
      <c r="E32" s="26"/>
    </row>
    <row r="33" spans="1:14">
      <c r="A33" s="18"/>
      <c r="C33" s="1" t="s">
        <v>37</v>
      </c>
      <c r="E33" s="26"/>
    </row>
    <row r="34" spans="1:14">
      <c r="A34" s="18"/>
      <c r="E34" s="27" t="s">
        <v>38</v>
      </c>
      <c r="H34" s="27" t="s">
        <v>39</v>
      </c>
      <c r="J34" s="27" t="s">
        <v>40</v>
      </c>
      <c r="L34" s="27"/>
      <c r="M34" s="27"/>
    </row>
    <row r="35" spans="1:14">
      <c r="A35" s="18"/>
      <c r="M35" s="18"/>
    </row>
    <row r="36" spans="1:14">
      <c r="A36" s="18" t="s">
        <v>41</v>
      </c>
      <c r="E36" s="26"/>
      <c r="J36" s="18" t="s">
        <v>42</v>
      </c>
      <c r="M36" s="18"/>
    </row>
    <row r="37" spans="1:14" ht="16.5" thickBot="1">
      <c r="A37" s="28" t="s">
        <v>43</v>
      </c>
      <c r="J37" s="28" t="s">
        <v>44</v>
      </c>
      <c r="K37"/>
      <c r="L37"/>
      <c r="M37" s="18"/>
    </row>
    <row r="38" spans="1:14">
      <c r="A38" s="18">
        <v>1</v>
      </c>
      <c r="C38" s="5" t="s">
        <v>45</v>
      </c>
      <c r="D38" s="5" t="str">
        <f>"(line "&amp;A157&amp;")"</f>
        <v>(line 67)</v>
      </c>
      <c r="E38" s="8"/>
      <c r="H38" s="5" t="s">
        <v>46</v>
      </c>
      <c r="J38" s="29">
        <f>+J157</f>
        <v>24332861.559865199</v>
      </c>
      <c r="K38"/>
      <c r="L38"/>
      <c r="M38" s="29"/>
    </row>
    <row r="39" spans="1:14">
      <c r="A39" s="18"/>
      <c r="J39" s="30"/>
      <c r="K39"/>
      <c r="L39"/>
    </row>
    <row r="40" spans="1:14">
      <c r="A40" s="18"/>
      <c r="J40" s="31"/>
    </row>
    <row r="41" spans="1:14" ht="16.5" thickBot="1">
      <c r="A41" s="18" t="s">
        <v>3</v>
      </c>
      <c r="C41" s="5" t="s">
        <v>47</v>
      </c>
      <c r="D41" s="8"/>
      <c r="E41" s="28" t="s">
        <v>48</v>
      </c>
      <c r="F41" s="8"/>
      <c r="G41" s="32" t="s">
        <v>49</v>
      </c>
      <c r="H41" s="32"/>
      <c r="J41" s="31"/>
    </row>
    <row r="42" spans="1:14">
      <c r="A42" s="18">
        <f>+A38+1</f>
        <v>2</v>
      </c>
      <c r="C42" s="5" t="str">
        <f>+'1 - Revenue Credits'!B15</f>
        <v>Total Revenue Credits</v>
      </c>
      <c r="D42" s="8" t="str">
        <f>"Attach 1, line "&amp;'1 - Revenue Credits'!A15&amp;""</f>
        <v>Attach 1, line 7</v>
      </c>
      <c r="E42" s="33">
        <f>+'1 - Revenue Credits'!D15</f>
        <v>0</v>
      </c>
      <c r="F42" s="8"/>
      <c r="G42" s="8" t="str">
        <f>+G66</f>
        <v>TP</v>
      </c>
      <c r="H42" s="34">
        <f>+H66</f>
        <v>1</v>
      </c>
      <c r="I42" s="8"/>
      <c r="J42" s="35">
        <f>+H42*E42</f>
        <v>0</v>
      </c>
      <c r="L42" s="36"/>
      <c r="M42" s="36"/>
      <c r="N42" s="37"/>
    </row>
    <row r="43" spans="1:14">
      <c r="A43" s="18">
        <f>+A42+1</f>
        <v>3</v>
      </c>
      <c r="C43" s="5" t="s">
        <v>50</v>
      </c>
      <c r="D43" s="38" t="s">
        <v>51</v>
      </c>
      <c r="E43" s="39">
        <f>+'5 - True-Up'!J53</f>
        <v>-3509886.4490934485</v>
      </c>
      <c r="G43" s="5" t="s">
        <v>52</v>
      </c>
      <c r="H43" s="40">
        <v>1</v>
      </c>
      <c r="J43" s="35">
        <f>+H43*E43</f>
        <v>-3509886.4490934485</v>
      </c>
    </row>
    <row r="44" spans="1:14">
      <c r="A44" s="18"/>
      <c r="J44" s="8"/>
    </row>
    <row r="45" spans="1:14" ht="16.5" thickBot="1">
      <c r="A45" s="18">
        <f>+A43+1</f>
        <v>4</v>
      </c>
      <c r="C45" s="5" t="s">
        <v>53</v>
      </c>
      <c r="D45" s="5" t="str">
        <f>"(line "&amp;A38&amp;" minus line "&amp;A42&amp;" plus line "&amp;A43&amp;")"</f>
        <v>(line 1 minus line 2 plus line 3)</v>
      </c>
      <c r="F45" s="8"/>
      <c r="G45" s="8"/>
      <c r="H45" s="8"/>
      <c r="I45" s="8"/>
      <c r="J45" s="41">
        <f>+J38-J42+J43</f>
        <v>20822975.110771749</v>
      </c>
      <c r="M45" s="42"/>
    </row>
    <row r="46" spans="1:14" ht="16.5" thickTop="1">
      <c r="A46" s="18"/>
      <c r="E46" s="43"/>
      <c r="F46" s="8"/>
      <c r="G46" s="8"/>
      <c r="H46" s="8"/>
      <c r="I46" s="8"/>
    </row>
    <row r="47" spans="1:14">
      <c r="A47" s="18"/>
      <c r="D47" s="8"/>
      <c r="J47" s="8"/>
    </row>
    <row r="48" spans="1:14">
      <c r="A48" s="18"/>
      <c r="E48" s="8"/>
      <c r="J48" s="8"/>
    </row>
    <row r="49" spans="1:13">
      <c r="A49" s="18"/>
      <c r="E49" s="8"/>
      <c r="J49" s="8"/>
    </row>
    <row r="50" spans="1:13">
      <c r="C50" s="1"/>
      <c r="D50" s="1"/>
      <c r="E50" s="2"/>
      <c r="F50" s="1"/>
      <c r="G50" s="1"/>
      <c r="H50" s="1"/>
      <c r="I50" s="1"/>
      <c r="J50" s="1"/>
      <c r="K50" s="18"/>
      <c r="L50" s="18"/>
      <c r="M50" s="3"/>
    </row>
    <row r="51" spans="1:13">
      <c r="C51" s="1"/>
      <c r="D51" s="1"/>
      <c r="E51" s="2"/>
      <c r="F51" s="1"/>
      <c r="G51" s="1"/>
      <c r="H51" s="1"/>
      <c r="I51" s="1"/>
      <c r="J51" s="3"/>
      <c r="K51" s="3"/>
      <c r="L51" s="3"/>
      <c r="M51" s="3" t="s">
        <v>0</v>
      </c>
    </row>
    <row r="52" spans="1:13">
      <c r="C52" s="1"/>
      <c r="D52" s="1"/>
      <c r="E52" s="2"/>
      <c r="F52" s="1"/>
      <c r="G52" s="1"/>
      <c r="H52" s="1"/>
      <c r="I52" s="1"/>
      <c r="J52" s="6"/>
      <c r="K52" s="6"/>
      <c r="L52" s="6"/>
      <c r="M52" s="6" t="s">
        <v>54</v>
      </c>
    </row>
    <row r="53" spans="1:13">
      <c r="C53" s="1"/>
      <c r="D53" s="1"/>
      <c r="E53" s="2"/>
      <c r="F53" s="1"/>
      <c r="G53" s="1"/>
      <c r="H53" s="1"/>
      <c r="I53" s="1"/>
      <c r="J53" s="1"/>
      <c r="L53" s="6"/>
      <c r="M53" s="6"/>
    </row>
    <row r="54" spans="1:13">
      <c r="C54" s="1"/>
      <c r="D54" s="1"/>
      <c r="E54" s="2"/>
      <c r="F54" s="1"/>
      <c r="G54" s="1"/>
      <c r="H54" s="1"/>
      <c r="I54" s="1"/>
      <c r="J54" s="1"/>
      <c r="L54" s="6"/>
    </row>
    <row r="55" spans="1:13">
      <c r="C55" s="1" t="s">
        <v>37</v>
      </c>
      <c r="D55" s="7"/>
      <c r="E55" s="7" t="s">
        <v>2</v>
      </c>
      <c r="F55" s="1"/>
      <c r="G55" s="1"/>
      <c r="H55" s="1"/>
      <c r="I55" s="1"/>
    </row>
    <row r="56" spans="1:13">
      <c r="C56" s="1"/>
      <c r="D56" s="8" t="s">
        <v>3</v>
      </c>
      <c r="E56" s="8" t="s">
        <v>4</v>
      </c>
      <c r="F56" s="8"/>
      <c r="G56" s="8"/>
      <c r="H56" s="8"/>
      <c r="I56" s="1"/>
      <c r="J56" s="1"/>
    </row>
    <row r="57" spans="1:13">
      <c r="C57" s="1"/>
      <c r="D57" s="8"/>
      <c r="E57" s="44"/>
      <c r="F57" s="8"/>
      <c r="G57" s="45"/>
      <c r="H57" s="8"/>
      <c r="I57" s="1"/>
      <c r="J57" s="1"/>
      <c r="K57" s="13"/>
      <c r="L57" s="13"/>
      <c r="M57" s="14" t="str">
        <f>+M7</f>
        <v>For the 12 months ended 12/31/2025</v>
      </c>
    </row>
    <row r="58" spans="1:13">
      <c r="C58" s="1"/>
      <c r="D58" s="857" t="s">
        <v>55</v>
      </c>
      <c r="E58" s="858"/>
      <c r="F58" s="858"/>
      <c r="G58" s="858"/>
      <c r="H58" s="8"/>
      <c r="I58" s="1"/>
      <c r="J58" s="1"/>
      <c r="M58" s="17"/>
    </row>
    <row r="59" spans="1:13">
      <c r="E59" s="4"/>
      <c r="F59" s="8"/>
      <c r="G59" s="8"/>
      <c r="H59" s="8"/>
      <c r="I59" s="8"/>
      <c r="J59" s="8"/>
      <c r="K59" s="8"/>
      <c r="L59" s="8"/>
      <c r="M59" s="46"/>
    </row>
    <row r="60" spans="1:13">
      <c r="C60" s="47" t="s">
        <v>38</v>
      </c>
      <c r="D60" s="47" t="s">
        <v>39</v>
      </c>
      <c r="E60" s="47" t="s">
        <v>40</v>
      </c>
      <c r="F60" s="8" t="s">
        <v>3</v>
      </c>
      <c r="G60" s="8"/>
      <c r="H60" s="48" t="s">
        <v>56</v>
      </c>
      <c r="I60" s="8"/>
      <c r="J60" s="48" t="s">
        <v>57</v>
      </c>
      <c r="K60" s="8"/>
      <c r="L60" s="27"/>
      <c r="M60" s="27"/>
    </row>
    <row r="61" spans="1:13">
      <c r="D61" s="49"/>
      <c r="E61" s="8"/>
      <c r="F61" s="8"/>
      <c r="G61" s="8"/>
      <c r="H61" s="18"/>
      <c r="I61" s="8"/>
      <c r="J61" s="50" t="s">
        <v>58</v>
      </c>
      <c r="K61" s="8"/>
      <c r="L61" s="47"/>
      <c r="M61" s="47"/>
    </row>
    <row r="62" spans="1:13">
      <c r="A62" s="18" t="s">
        <v>41</v>
      </c>
      <c r="D62" s="51" t="s">
        <v>59</v>
      </c>
      <c r="E62" s="50" t="s">
        <v>60</v>
      </c>
      <c r="F62" s="52"/>
      <c r="G62" s="50" t="s">
        <v>61</v>
      </c>
      <c r="I62" s="52"/>
      <c r="J62" s="18" t="s">
        <v>62</v>
      </c>
      <c r="K62" s="8"/>
      <c r="L62" s="18"/>
      <c r="M62" s="18"/>
    </row>
    <row r="63" spans="1:13" ht="16.5" thickBot="1">
      <c r="A63" s="28" t="s">
        <v>43</v>
      </c>
      <c r="C63" s="15" t="s">
        <v>63</v>
      </c>
      <c r="D63" s="8"/>
      <c r="E63" s="8"/>
      <c r="F63" s="8"/>
      <c r="G63" s="8"/>
      <c r="H63" s="8"/>
      <c r="I63" s="8"/>
      <c r="J63" s="8"/>
      <c r="K63" s="8"/>
      <c r="L63" s="8"/>
      <c r="M63" s="8"/>
    </row>
    <row r="64" spans="1:13">
      <c r="A64" s="18"/>
      <c r="D64" s="8"/>
      <c r="E64" s="8"/>
      <c r="F64" s="8"/>
      <c r="G64" s="8"/>
      <c r="H64" s="8"/>
      <c r="I64" s="8"/>
      <c r="J64" s="8"/>
      <c r="K64" s="8"/>
      <c r="L64" s="8"/>
      <c r="M64" s="8"/>
    </row>
    <row r="65" spans="1:23">
      <c r="A65" s="18"/>
      <c r="C65" s="5" t="s">
        <v>64</v>
      </c>
      <c r="D65" s="8"/>
      <c r="E65" s="8"/>
      <c r="F65" s="8"/>
      <c r="G65" s="8"/>
      <c r="H65" s="8"/>
      <c r="I65" s="8"/>
      <c r="J65" s="8"/>
      <c r="K65" s="8"/>
      <c r="L65" s="8"/>
      <c r="M65" s="8"/>
    </row>
    <row r="66" spans="1:23">
      <c r="A66" s="18">
        <f>+A45+1</f>
        <v>5</v>
      </c>
      <c r="C66" s="5" t="s">
        <v>65</v>
      </c>
      <c r="D66" s="8" t="s">
        <v>66</v>
      </c>
      <c r="E66" s="53">
        <f>+'2 - Cost Support '!F21</f>
        <v>73292078.200000018</v>
      </c>
      <c r="F66" s="8"/>
      <c r="G66" s="8" t="s">
        <v>67</v>
      </c>
      <c r="H66" s="34">
        <f>+J$177</f>
        <v>1</v>
      </c>
      <c r="I66" s="8"/>
      <c r="J66" s="35">
        <f>+H66*E66</f>
        <v>73292078.200000018</v>
      </c>
      <c r="K66" s="8"/>
      <c r="L66" s="54"/>
      <c r="M66" s="55"/>
      <c r="N66" s="56"/>
    </row>
    <row r="67" spans="1:23">
      <c r="A67" s="18">
        <f>+A66+1</f>
        <v>6</v>
      </c>
      <c r="C67" s="5" t="s">
        <v>68</v>
      </c>
      <c r="D67" s="8" t="s">
        <v>69</v>
      </c>
      <c r="E67" s="53">
        <f>+'2 - Cost Support '!F37+'2 - Cost Support '!F53</f>
        <v>2246124.5599999991</v>
      </c>
      <c r="F67" s="8"/>
      <c r="G67" s="8" t="s">
        <v>70</v>
      </c>
      <c r="H67" s="34">
        <f>+J$183</f>
        <v>1</v>
      </c>
      <c r="I67" s="8"/>
      <c r="J67" s="35">
        <f>+H67*E67</f>
        <v>2246124.5599999991</v>
      </c>
      <c r="K67" s="8"/>
      <c r="L67" s="54"/>
      <c r="M67" s="55"/>
      <c r="N67" s="56"/>
    </row>
    <row r="68" spans="1:23">
      <c r="A68" s="18">
        <f>+A67+1</f>
        <v>7</v>
      </c>
      <c r="C68" s="1" t="str">
        <f>"TOTAL GROSS PLANT (sum lines "&amp;A66&amp;"-"&amp;A67&amp;")"</f>
        <v>TOTAL GROSS PLANT (sum lines 5-6)</v>
      </c>
      <c r="D68" s="859" t="s">
        <v>71</v>
      </c>
      <c r="E68" s="53">
        <f>SUM(E66:E67)</f>
        <v>75538202.76000002</v>
      </c>
      <c r="F68" s="8"/>
      <c r="G68" s="8" t="s">
        <v>72</v>
      </c>
      <c r="H68" s="57">
        <f>J68/E68</f>
        <v>1</v>
      </c>
      <c r="I68" s="8"/>
      <c r="J68" s="35">
        <f>SUM(J66:J67)</f>
        <v>75538202.76000002</v>
      </c>
      <c r="K68" s="8"/>
      <c r="L68" s="46"/>
      <c r="M68" s="8"/>
    </row>
    <row r="69" spans="1:23">
      <c r="A69" s="18"/>
      <c r="D69" s="859"/>
      <c r="E69" s="53"/>
      <c r="F69" s="8"/>
      <c r="G69" s="8"/>
      <c r="H69" s="58"/>
      <c r="I69" s="8"/>
      <c r="J69" s="35"/>
      <c r="K69" s="8"/>
      <c r="L69" s="59"/>
      <c r="M69" s="8"/>
      <c r="W69" s="60"/>
    </row>
    <row r="70" spans="1:23">
      <c r="A70" s="18">
        <f>+A68+1</f>
        <v>8</v>
      </c>
      <c r="C70" s="5" t="s">
        <v>73</v>
      </c>
      <c r="D70" s="8"/>
      <c r="E70" s="53"/>
      <c r="F70" s="8"/>
      <c r="G70" s="8"/>
      <c r="H70" s="34"/>
      <c r="I70" s="8"/>
      <c r="J70" s="35"/>
      <c r="K70" s="8"/>
      <c r="L70" s="8"/>
      <c r="M70" s="8"/>
    </row>
    <row r="71" spans="1:23">
      <c r="A71" s="18">
        <f>+A70+1</f>
        <v>9</v>
      </c>
      <c r="C71" s="5" t="s">
        <v>65</v>
      </c>
      <c r="D71" s="8" t="s">
        <v>74</v>
      </c>
      <c r="E71" s="53">
        <f>+'2 - Cost Support '!F74</f>
        <v>6024844.4933803519</v>
      </c>
      <c r="F71" s="8"/>
      <c r="G71" s="8" t="str">
        <f>+G66</f>
        <v>TP</v>
      </c>
      <c r="H71" s="34">
        <f>+J$177</f>
        <v>1</v>
      </c>
      <c r="I71" s="8"/>
      <c r="J71" s="35">
        <f>+H71*E71</f>
        <v>6024844.4933803519</v>
      </c>
      <c r="K71" s="8"/>
      <c r="L71" s="36"/>
      <c r="M71" s="61"/>
      <c r="N71" s="56"/>
    </row>
    <row r="72" spans="1:23">
      <c r="A72" s="18">
        <f>+A71+1</f>
        <v>10</v>
      </c>
      <c r="C72" s="5" t="s">
        <v>68</v>
      </c>
      <c r="D72" s="8" t="s">
        <v>75</v>
      </c>
      <c r="E72" s="53">
        <f>+'2 - Cost Support '!F90+'2 - Cost Support '!F106</f>
        <v>915490.95471514808</v>
      </c>
      <c r="F72" s="8"/>
      <c r="G72" s="8" t="str">
        <f>+G67</f>
        <v>W/S</v>
      </c>
      <c r="H72" s="34">
        <f>+J$183</f>
        <v>1</v>
      </c>
      <c r="I72" s="8"/>
      <c r="J72" s="35">
        <f>+H72*E72</f>
        <v>915490.95471514808</v>
      </c>
      <c r="K72" s="8"/>
      <c r="L72" s="36"/>
      <c r="M72" s="61"/>
      <c r="N72" s="56"/>
    </row>
    <row r="73" spans="1:23">
      <c r="A73" s="18">
        <f>+A72+1</f>
        <v>11</v>
      </c>
      <c r="C73" s="5" t="str">
        <f>"TOTAL ACCUM. DEPRECIATION (sum lines "&amp;A71&amp;"-"&amp;A72&amp;")"</f>
        <v>TOTAL ACCUM. DEPRECIATION (sum lines 9-10)</v>
      </c>
      <c r="D73" s="8"/>
      <c r="E73" s="53">
        <f>SUM(E71:E72)</f>
        <v>6940335.4480955005</v>
      </c>
      <c r="F73" s="8"/>
      <c r="G73" s="8"/>
      <c r="H73" s="34"/>
      <c r="I73" s="8"/>
      <c r="J73" s="35">
        <f>SUM(J71:J72)</f>
        <v>6940335.4480955005</v>
      </c>
      <c r="K73" s="8"/>
      <c r="L73" s="8"/>
      <c r="M73" s="8"/>
    </row>
    <row r="74" spans="1:23">
      <c r="A74" s="18"/>
      <c r="D74" s="8" t="s">
        <v>3</v>
      </c>
      <c r="E74" s="53"/>
      <c r="F74" s="8"/>
      <c r="G74" s="8"/>
      <c r="H74" s="58"/>
      <c r="I74" s="8"/>
      <c r="J74" s="35"/>
      <c r="K74" s="8"/>
      <c r="L74" s="59"/>
      <c r="M74" s="8"/>
    </row>
    <row r="75" spans="1:23">
      <c r="A75" s="18">
        <f>+A73+1</f>
        <v>12</v>
      </c>
      <c r="C75" s="5" t="s">
        <v>76</v>
      </c>
      <c r="D75" s="8"/>
      <c r="E75" s="53"/>
      <c r="F75" s="8"/>
      <c r="G75" s="8"/>
      <c r="H75" s="34"/>
      <c r="I75" s="8"/>
      <c r="J75" s="35"/>
      <c r="K75" s="8"/>
      <c r="L75" s="8"/>
      <c r="M75" s="8"/>
    </row>
    <row r="76" spans="1:23">
      <c r="A76" s="18">
        <f>+A75+1</f>
        <v>13</v>
      </c>
      <c r="C76" s="5" t="s">
        <v>77</v>
      </c>
      <c r="D76" s="8" t="str">
        <f>" (line "&amp;A66&amp;"- line "&amp;A71&amp;")"</f>
        <v xml:space="preserve"> (line 5- line 9)</v>
      </c>
      <c r="E76" s="53">
        <f>+E66-E71</f>
        <v>67267233.706619665</v>
      </c>
      <c r="F76" s="8"/>
      <c r="G76" s="8"/>
      <c r="H76" s="34"/>
      <c r="I76" s="8"/>
      <c r="J76" s="35">
        <f>+J66-J71</f>
        <v>67267233.706619665</v>
      </c>
      <c r="K76" s="8"/>
      <c r="L76" s="59"/>
      <c r="M76" s="36"/>
      <c r="N76" s="37"/>
    </row>
    <row r="77" spans="1:23">
      <c r="A77" s="18">
        <f>+A76+1</f>
        <v>14</v>
      </c>
      <c r="C77" s="5" t="s">
        <v>78</v>
      </c>
      <c r="D77" s="8" t="str">
        <f>" (line "&amp;A67&amp;"- line "&amp;A72&amp;")"</f>
        <v xml:space="preserve"> (line 6- line 10)</v>
      </c>
      <c r="E77" s="53">
        <f>+E67-E72</f>
        <v>1330633.605284851</v>
      </c>
      <c r="F77" s="8"/>
      <c r="G77" s="8"/>
      <c r="H77" s="58"/>
      <c r="I77" s="8"/>
      <c r="J77" s="35">
        <f>+J67-J72</f>
        <v>1330633.605284851</v>
      </c>
      <c r="K77" s="8"/>
      <c r="L77" s="59"/>
      <c r="M77" s="36"/>
      <c r="N77" s="37"/>
    </row>
    <row r="78" spans="1:23">
      <c r="A78" s="18">
        <f>+A77+1</f>
        <v>15</v>
      </c>
      <c r="C78" s="5" t="str">
        <f>"TOTAL NET PLANT (sum lines "&amp;A76&amp;"-"&amp;A77&amp;")"</f>
        <v>TOTAL NET PLANT (sum lines 13-14)</v>
      </c>
      <c r="D78" s="859" t="s">
        <v>79</v>
      </c>
      <c r="E78" s="53">
        <f>SUM(E76:E77)</f>
        <v>68597867.31190452</v>
      </c>
      <c r="F78" s="8"/>
      <c r="G78" s="8" t="s">
        <v>80</v>
      </c>
      <c r="H78" s="57">
        <f>J78/E78</f>
        <v>1</v>
      </c>
      <c r="I78" s="8"/>
      <c r="J78" s="35">
        <f>SUM(J76:J77)</f>
        <v>68597867.31190452</v>
      </c>
      <c r="K78" s="8"/>
      <c r="L78" s="8"/>
      <c r="M78" s="8"/>
      <c r="N78" s="62"/>
    </row>
    <row r="79" spans="1:23">
      <c r="A79" s="18"/>
      <c r="D79" s="859"/>
      <c r="E79" s="53"/>
      <c r="F79" s="8"/>
      <c r="H79" s="63"/>
      <c r="I79" s="8"/>
      <c r="J79" s="35"/>
      <c r="K79" s="8"/>
      <c r="L79" s="59"/>
      <c r="M79" s="8"/>
    </row>
    <row r="80" spans="1:23">
      <c r="A80" s="18">
        <f>+A78+1</f>
        <v>16</v>
      </c>
      <c r="C80" s="1" t="str">
        <f>"ADJUSTMENTS TO RATE BASE       (Note "&amp;A220&amp;")"</f>
        <v>ADJUSTMENTS TO RATE BASE       (Note A)</v>
      </c>
      <c r="D80" s="8"/>
      <c r="E80" s="53"/>
      <c r="F80" s="8"/>
      <c r="G80" s="8"/>
      <c r="H80" s="63"/>
      <c r="I80" s="8"/>
      <c r="J80" s="35"/>
      <c r="K80" s="8"/>
      <c r="L80" s="8"/>
      <c r="M80" s="8"/>
    </row>
    <row r="81" spans="1:14">
      <c r="A81" s="18">
        <f t="shared" ref="A81:A87" si="1">+A80+1</f>
        <v>17</v>
      </c>
      <c r="C81" s="5" t="s">
        <v>81</v>
      </c>
      <c r="D81" s="8" t="s">
        <v>82</v>
      </c>
      <c r="E81" s="53">
        <f>+'6a-ADIT Projection'!H16</f>
        <v>-8360851.573544357</v>
      </c>
      <c r="F81" s="8"/>
      <c r="G81" s="8" t="s">
        <v>83</v>
      </c>
      <c r="H81" s="63">
        <f>+H78</f>
        <v>1</v>
      </c>
      <c r="I81" s="8"/>
      <c r="J81" s="53">
        <f t="shared" ref="J81:J86" si="2">+H81*E81</f>
        <v>-8360851.573544357</v>
      </c>
      <c r="K81" s="8"/>
      <c r="L81" s="8"/>
      <c r="M81" s="61"/>
      <c r="N81" s="62"/>
    </row>
    <row r="82" spans="1:14">
      <c r="A82" s="18">
        <f t="shared" si="1"/>
        <v>18</v>
      </c>
      <c r="C82" s="5" t="s">
        <v>84</v>
      </c>
      <c r="D82" s="8" t="s">
        <v>85</v>
      </c>
      <c r="E82" s="53">
        <f>+'2a - Cost Support'!G5</f>
        <v>0</v>
      </c>
      <c r="F82" s="8"/>
      <c r="G82" s="8" t="s">
        <v>83</v>
      </c>
      <c r="H82" s="63">
        <f>+H$78</f>
        <v>1</v>
      </c>
      <c r="I82" s="8"/>
      <c r="J82" s="64">
        <f t="shared" si="2"/>
        <v>0</v>
      </c>
      <c r="K82" s="8"/>
      <c r="L82" s="8"/>
      <c r="M82" s="61"/>
      <c r="N82" s="37"/>
    </row>
    <row r="83" spans="1:14">
      <c r="A83" s="18">
        <f t="shared" si="1"/>
        <v>19</v>
      </c>
      <c r="C83" s="5" t="s">
        <v>86</v>
      </c>
      <c r="D83" s="8" t="s">
        <v>87</v>
      </c>
      <c r="E83" s="64">
        <f>+'2a - Cost Support'!G44</f>
        <v>31580998.526173268</v>
      </c>
      <c r="F83" s="8"/>
      <c r="G83" s="8" t="s">
        <v>52</v>
      </c>
      <c r="H83" s="65">
        <v>1</v>
      </c>
      <c r="I83" s="8"/>
      <c r="J83" s="64">
        <f>+E83*H83</f>
        <v>31580998.526173268</v>
      </c>
      <c r="K83" s="8"/>
      <c r="L83" s="46"/>
      <c r="M83" s="61"/>
      <c r="N83" s="37"/>
    </row>
    <row r="84" spans="1:14">
      <c r="A84" s="18">
        <f t="shared" si="1"/>
        <v>20</v>
      </c>
      <c r="C84" s="5" t="s">
        <v>88</v>
      </c>
      <c r="D84" s="8" t="s">
        <v>89</v>
      </c>
      <c r="E84" s="64">
        <f>+'2a - Cost Support'!D68</f>
        <v>0</v>
      </c>
      <c r="F84" s="8"/>
      <c r="G84" s="8" t="str">
        <f>+G85</f>
        <v>DA</v>
      </c>
      <c r="H84" s="65">
        <f>+H85</f>
        <v>1</v>
      </c>
      <c r="I84" s="8"/>
      <c r="J84" s="64">
        <f t="shared" si="2"/>
        <v>0</v>
      </c>
      <c r="K84" s="8"/>
      <c r="L84" s="46"/>
      <c r="M84" s="61"/>
      <c r="N84" s="37"/>
    </row>
    <row r="85" spans="1:14">
      <c r="A85" s="18">
        <f t="shared" si="1"/>
        <v>21</v>
      </c>
      <c r="C85" s="5" t="s">
        <v>90</v>
      </c>
      <c r="D85" s="8" t="s">
        <v>91</v>
      </c>
      <c r="E85" s="64">
        <f>+'2a - Cost Support'!E146</f>
        <v>10079113.593548344</v>
      </c>
      <c r="F85" s="8"/>
      <c r="G85" s="8" t="str">
        <f>+G86</f>
        <v>DA</v>
      </c>
      <c r="H85" s="65">
        <f>+H86</f>
        <v>1</v>
      </c>
      <c r="I85" s="8"/>
      <c r="J85" s="64">
        <f t="shared" si="2"/>
        <v>10079113.593548344</v>
      </c>
      <c r="K85" s="8"/>
      <c r="L85" s="46"/>
      <c r="M85" s="61"/>
      <c r="N85" s="62"/>
    </row>
    <row r="86" spans="1:14">
      <c r="A86" s="18">
        <f t="shared" si="1"/>
        <v>22</v>
      </c>
      <c r="C86" s="66" t="s">
        <v>92</v>
      </c>
      <c r="D86" s="67" t="s">
        <v>93</v>
      </c>
      <c r="E86" s="68">
        <f>+'2a - Cost Support'!G7</f>
        <v>0</v>
      </c>
      <c r="F86" s="67"/>
      <c r="G86" s="67" t="s">
        <v>52</v>
      </c>
      <c r="H86" s="69">
        <v>1</v>
      </c>
      <c r="I86" s="67"/>
      <c r="J86" s="70">
        <f t="shared" si="2"/>
        <v>0</v>
      </c>
      <c r="K86" s="8"/>
      <c r="L86" s="8"/>
      <c r="M86" s="61"/>
      <c r="N86" s="37"/>
    </row>
    <row r="87" spans="1:14">
      <c r="A87" s="18">
        <f t="shared" si="1"/>
        <v>23</v>
      </c>
      <c r="C87" s="71" t="str">
        <f>"TOTAL ADJUSTMENTS  (sum lines "&amp;A81&amp;"-"&amp;A86&amp;")"</f>
        <v>TOTAL ADJUSTMENTS  (sum lines 17-22)</v>
      </c>
      <c r="D87" s="8"/>
      <c r="E87" s="53">
        <f>SUM(E81:E86)</f>
        <v>33299260.546177253</v>
      </c>
      <c r="F87" s="8"/>
      <c r="G87" s="8"/>
      <c r="H87" s="34"/>
      <c r="I87" s="8"/>
      <c r="J87" s="35">
        <f>SUM(J81:J86)</f>
        <v>33299260.546177253</v>
      </c>
      <c r="K87" s="8"/>
      <c r="L87" s="8"/>
      <c r="M87" s="8"/>
    </row>
    <row r="88" spans="1:14">
      <c r="A88" s="18"/>
      <c r="D88" s="8"/>
      <c r="E88" s="53"/>
      <c r="F88" s="8"/>
      <c r="G88" s="8"/>
      <c r="H88" s="58"/>
      <c r="I88" s="8"/>
      <c r="J88" s="35"/>
      <c r="K88" s="8"/>
      <c r="L88" s="59"/>
      <c r="M88" s="8"/>
    </row>
    <row r="89" spans="1:14">
      <c r="A89" s="18">
        <f>+A87+1</f>
        <v>24</v>
      </c>
      <c r="C89" s="1" t="s">
        <v>94</v>
      </c>
      <c r="D89" s="8" t="s">
        <v>95</v>
      </c>
      <c r="E89" s="53">
        <f>+'2a - Cost Support'!G51</f>
        <v>2036137.7800000003</v>
      </c>
      <c r="F89" s="8"/>
      <c r="G89" s="8" t="str">
        <f>+G71</f>
        <v>TP</v>
      </c>
      <c r="H89" s="34">
        <f>+J$177</f>
        <v>1</v>
      </c>
      <c r="I89" s="8"/>
      <c r="J89" s="35">
        <f>+H89*E89</f>
        <v>2036137.7800000003</v>
      </c>
      <c r="K89" s="8"/>
      <c r="L89" s="8"/>
      <c r="M89" s="8"/>
    </row>
    <row r="90" spans="1:14">
      <c r="A90" s="18"/>
      <c r="D90" s="8"/>
      <c r="E90" s="53"/>
      <c r="F90" s="8"/>
      <c r="G90" s="8"/>
      <c r="H90" s="34"/>
      <c r="I90" s="8"/>
      <c r="J90" s="35"/>
      <c r="K90" s="8"/>
      <c r="L90" s="8"/>
      <c r="M90" s="8"/>
    </row>
    <row r="91" spans="1:14">
      <c r="A91" s="18">
        <f>+A89+1</f>
        <v>25</v>
      </c>
      <c r="C91" s="5" t="str">
        <f>"WORKING CAPITAL  (Note "&amp;A223&amp;")"</f>
        <v>WORKING CAPITAL  (Note C)</v>
      </c>
      <c r="D91" s="8" t="s">
        <v>3</v>
      </c>
      <c r="E91" s="53"/>
      <c r="F91" s="8"/>
      <c r="G91" s="8"/>
      <c r="H91" s="34"/>
      <c r="I91" s="8"/>
      <c r="J91" s="35"/>
      <c r="K91" s="8"/>
      <c r="L91" s="8"/>
      <c r="M91" s="8"/>
    </row>
    <row r="92" spans="1:14">
      <c r="A92" s="18">
        <f>+A91+1</f>
        <v>26</v>
      </c>
      <c r="C92" s="5" t="s">
        <v>96</v>
      </c>
      <c r="D92" s="5" t="s">
        <v>97</v>
      </c>
      <c r="E92" s="53">
        <f>(E118-E113)/8</f>
        <v>1128717</v>
      </c>
      <c r="F92" s="8"/>
      <c r="G92" s="8"/>
      <c r="H92" s="58"/>
      <c r="I92" s="8"/>
      <c r="J92" s="53">
        <f>+(J118-J113)/8</f>
        <v>1128717</v>
      </c>
      <c r="K92" s="8"/>
      <c r="L92" s="46"/>
      <c r="M92" s="61"/>
      <c r="N92" s="62"/>
    </row>
    <row r="93" spans="1:14">
      <c r="A93" s="18">
        <f>+A92+1</f>
        <v>27</v>
      </c>
      <c r="C93" s="5" t="str">
        <f>"  Materials &amp; Supplies  (Note "&amp;A222&amp;")"</f>
        <v xml:space="preserve">  Materials &amp; Supplies  (Note B)</v>
      </c>
      <c r="D93" s="8" t="s">
        <v>98</v>
      </c>
      <c r="E93" s="53">
        <f>+'2a - Cost Support'!H138</f>
        <v>0</v>
      </c>
      <c r="F93" s="8"/>
      <c r="G93" s="8" t="str">
        <f>+G89</f>
        <v>TP</v>
      </c>
      <c r="H93" s="34">
        <f>+H89</f>
        <v>1</v>
      </c>
      <c r="I93" s="8"/>
      <c r="J93" s="35">
        <f>+H93*E93</f>
        <v>0</v>
      </c>
      <c r="K93" s="8"/>
      <c r="L93" s="59"/>
      <c r="M93" s="72"/>
    </row>
    <row r="94" spans="1:14">
      <c r="A94" s="18">
        <f>+A93+1</f>
        <v>28</v>
      </c>
      <c r="C94" s="66" t="str">
        <f xml:space="preserve">  "  Prepayments (Account 165 - Note "&amp;A223&amp;")"</f>
        <v xml:space="preserve">  Prepayments (Account 165 - Note C)</v>
      </c>
      <c r="D94" s="67" t="s">
        <v>99</v>
      </c>
      <c r="E94" s="68">
        <f>+'2a - Cost Support'!F26</f>
        <v>108038.24</v>
      </c>
      <c r="F94" s="67"/>
      <c r="G94" s="67" t="s">
        <v>100</v>
      </c>
      <c r="H94" s="73">
        <f>+H$68</f>
        <v>1</v>
      </c>
      <c r="I94" s="67"/>
      <c r="J94" s="70">
        <f>+H94*E94</f>
        <v>108038.24</v>
      </c>
      <c r="K94" s="8"/>
      <c r="L94" s="8"/>
      <c r="M94" s="8"/>
    </row>
    <row r="95" spans="1:14">
      <c r="A95" s="18">
        <f>+A94+1</f>
        <v>29</v>
      </c>
      <c r="C95" s="5" t="str">
        <f>"TOTAL WORKING CAPITAL (sum lines "&amp;A92&amp;"-"&amp;A94&amp;")"</f>
        <v>TOTAL WORKING CAPITAL (sum lines 26-28)</v>
      </c>
      <c r="E95" s="35">
        <f>SUM(E92:E94)</f>
        <v>1236755.24</v>
      </c>
      <c r="J95" s="35">
        <f>SUM(J92:J94)</f>
        <v>1236755.24</v>
      </c>
      <c r="K95" s="8"/>
      <c r="L95" s="8"/>
      <c r="M95" s="8"/>
    </row>
    <row r="96" spans="1:14" ht="16.5" thickBot="1">
      <c r="A96" s="18"/>
      <c r="D96" s="8"/>
      <c r="E96" s="74"/>
      <c r="F96" s="8"/>
      <c r="G96" s="8"/>
      <c r="H96" s="8"/>
      <c r="I96" s="8"/>
      <c r="J96" s="74"/>
      <c r="K96" s="8"/>
    </row>
    <row r="97" spans="1:14" ht="16.5" thickBot="1">
      <c r="A97" s="18">
        <f>+A95+1</f>
        <v>30</v>
      </c>
      <c r="C97" s="5" t="str">
        <f>"RATE BASE  (sum lines "&amp;A78&amp;", "&amp;A87&amp;", "&amp;A89&amp;", &amp; "&amp;A95&amp;")"</f>
        <v>RATE BASE  (sum lines 15, 23, 24, &amp; 29)</v>
      </c>
      <c r="D97" s="8"/>
      <c r="E97" s="75">
        <f>+E78+E87+E89+E95</f>
        <v>105170020.87808177</v>
      </c>
      <c r="F97" s="8"/>
      <c r="G97" s="8"/>
      <c r="H97" s="59"/>
      <c r="I97" s="8"/>
      <c r="J97" s="75">
        <f>+J78+J87+J89+J95</f>
        <v>105170020.87808177</v>
      </c>
      <c r="K97" s="8"/>
      <c r="L97" s="8"/>
      <c r="M97" s="8"/>
    </row>
    <row r="98" spans="1:14" ht="16.5" thickTop="1">
      <c r="A98" s="18"/>
      <c r="C98" s="1"/>
      <c r="D98" s="1"/>
      <c r="E98" s="2"/>
      <c r="F98" s="1"/>
      <c r="G98" s="1"/>
      <c r="H98" s="1"/>
      <c r="I98" s="1"/>
      <c r="J98" s="76"/>
      <c r="L98" s="6"/>
      <c r="M98" s="3" t="s">
        <v>0</v>
      </c>
    </row>
    <row r="99" spans="1:14">
      <c r="A99" s="18"/>
      <c r="C99" s="1" t="s">
        <v>37</v>
      </c>
      <c r="D99" s="7"/>
      <c r="E99" s="7" t="s">
        <v>2</v>
      </c>
      <c r="F99" s="1"/>
      <c r="G99" s="1"/>
      <c r="H99" s="1"/>
      <c r="I99" s="1"/>
      <c r="J99" s="35"/>
      <c r="M99" s="6" t="s">
        <v>101</v>
      </c>
    </row>
    <row r="100" spans="1:14">
      <c r="A100" s="18"/>
      <c r="C100" s="1"/>
      <c r="D100" s="8" t="s">
        <v>3</v>
      </c>
      <c r="E100" s="8" t="s">
        <v>4</v>
      </c>
      <c r="F100" s="8"/>
      <c r="G100" s="8"/>
      <c r="H100" s="8"/>
      <c r="I100" s="1"/>
      <c r="J100" s="76"/>
    </row>
    <row r="101" spans="1:14">
      <c r="A101" s="18"/>
      <c r="C101" s="1"/>
      <c r="D101" s="8"/>
      <c r="E101" s="44"/>
      <c r="F101" s="8"/>
      <c r="G101" s="4"/>
      <c r="H101" s="8"/>
      <c r="I101" s="1"/>
      <c r="J101" s="76"/>
      <c r="K101" s="13"/>
      <c r="L101" s="13"/>
      <c r="M101" s="14" t="str">
        <f>+M57</f>
        <v>For the 12 months ended 12/31/2025</v>
      </c>
    </row>
    <row r="102" spans="1:14">
      <c r="A102" s="18"/>
      <c r="D102" s="857" t="s">
        <v>55</v>
      </c>
      <c r="E102" s="856"/>
      <c r="F102" s="856"/>
      <c r="G102" s="856"/>
      <c r="J102" s="35"/>
      <c r="K102" s="8"/>
      <c r="L102" s="8"/>
      <c r="M102" s="46"/>
    </row>
    <row r="103" spans="1:14">
      <c r="A103" s="18"/>
      <c r="E103" s="4"/>
      <c r="J103" s="35"/>
      <c r="K103" s="8"/>
      <c r="L103" s="8"/>
      <c r="M103" s="46"/>
    </row>
    <row r="104" spans="1:14">
      <c r="A104" s="18"/>
      <c r="C104" s="47" t="s">
        <v>38</v>
      </c>
      <c r="D104" s="47" t="s">
        <v>39</v>
      </c>
      <c r="E104" s="47" t="s">
        <v>40</v>
      </c>
      <c r="F104" s="8" t="s">
        <v>3</v>
      </c>
      <c r="G104" s="8"/>
      <c r="H104" s="48" t="s">
        <v>56</v>
      </c>
      <c r="I104" s="8"/>
      <c r="J104" s="77" t="s">
        <v>57</v>
      </c>
      <c r="K104" s="8"/>
      <c r="L104" s="27"/>
      <c r="M104" s="27"/>
    </row>
    <row r="105" spans="1:14">
      <c r="A105" s="18"/>
      <c r="C105" s="47"/>
      <c r="D105" s="1"/>
      <c r="E105" s="1"/>
      <c r="F105" s="1"/>
      <c r="G105" s="1"/>
      <c r="H105" s="1"/>
      <c r="I105" s="1"/>
      <c r="J105" s="76"/>
      <c r="K105" s="1"/>
      <c r="L105" s="50"/>
      <c r="M105" s="1"/>
    </row>
    <row r="106" spans="1:14">
      <c r="A106" s="18"/>
      <c r="D106" s="49"/>
      <c r="E106" s="8"/>
      <c r="F106" s="8"/>
      <c r="G106" s="8"/>
      <c r="H106" s="18"/>
      <c r="I106" s="8"/>
      <c r="J106" s="78" t="s">
        <v>58</v>
      </c>
      <c r="K106" s="8"/>
      <c r="L106" s="47"/>
      <c r="M106" s="47"/>
    </row>
    <row r="107" spans="1:14">
      <c r="A107" s="18"/>
      <c r="D107" s="51" t="s">
        <v>59</v>
      </c>
      <c r="E107" s="50" t="s">
        <v>60</v>
      </c>
      <c r="F107" s="52"/>
      <c r="G107" s="50" t="s">
        <v>61</v>
      </c>
      <c r="I107" s="52"/>
      <c r="J107" s="79" t="s">
        <v>62</v>
      </c>
      <c r="K107" s="8"/>
      <c r="L107" s="18"/>
      <c r="M107" s="18"/>
    </row>
    <row r="108" spans="1:14">
      <c r="A108" s="18"/>
      <c r="D108" s="8"/>
      <c r="E108" s="80"/>
      <c r="F108" s="81"/>
      <c r="G108" s="51"/>
      <c r="I108" s="81"/>
      <c r="J108" s="35"/>
    </row>
    <row r="109" spans="1:14">
      <c r="A109" s="18">
        <f>+A97+1</f>
        <v>31</v>
      </c>
      <c r="C109" s="5" t="s">
        <v>102</v>
      </c>
      <c r="D109" s="8"/>
      <c r="E109" s="8"/>
      <c r="I109" s="8"/>
      <c r="J109" s="35"/>
    </row>
    <row r="110" spans="1:14">
      <c r="A110" s="18">
        <f t="shared" ref="A110:A117" si="3">+A109+1</f>
        <v>32</v>
      </c>
      <c r="C110" s="5" t="s">
        <v>65</v>
      </c>
      <c r="D110" s="8" t="s">
        <v>103</v>
      </c>
      <c r="E110" s="82">
        <v>8757111.5999999996</v>
      </c>
      <c r="F110" s="8"/>
      <c r="G110" s="8" t="s">
        <v>67</v>
      </c>
      <c r="H110" s="34">
        <f>+J177</f>
        <v>1</v>
      </c>
      <c r="I110" s="8"/>
      <c r="J110" s="35">
        <f t="shared" ref="J110:J117" si="4">+H110*E110</f>
        <v>8757111.5999999996</v>
      </c>
      <c r="K110" s="8"/>
      <c r="L110" s="8"/>
      <c r="M110" s="8"/>
      <c r="N110" s="83"/>
    </row>
    <row r="111" spans="1:14">
      <c r="A111" s="18">
        <f t="shared" si="3"/>
        <v>33</v>
      </c>
      <c r="C111" s="5" t="s">
        <v>104</v>
      </c>
      <c r="D111" s="8" t="s">
        <v>105</v>
      </c>
      <c r="E111" s="82">
        <f>+'2a - Cost Support'!E144</f>
        <v>997719.60000000009</v>
      </c>
      <c r="F111" s="8"/>
      <c r="G111" s="8" t="s">
        <v>67</v>
      </c>
      <c r="H111" s="34">
        <f>+H110</f>
        <v>1</v>
      </c>
      <c r="I111" s="8"/>
      <c r="J111" s="35">
        <f t="shared" si="4"/>
        <v>997719.60000000009</v>
      </c>
      <c r="K111" s="8"/>
      <c r="L111" s="8"/>
      <c r="M111" s="8"/>
      <c r="N111" s="83"/>
    </row>
    <row r="112" spans="1:14">
      <c r="A112" s="18" t="s">
        <v>106</v>
      </c>
      <c r="C112" s="5" t="s">
        <v>107</v>
      </c>
      <c r="D112" s="8" t="s">
        <v>108</v>
      </c>
      <c r="E112" s="84">
        <v>0</v>
      </c>
      <c r="F112" s="8"/>
      <c r="G112" s="8" t="s">
        <v>52</v>
      </c>
      <c r="H112" s="85">
        <v>1</v>
      </c>
      <c r="I112" s="8"/>
      <c r="J112" s="35">
        <f t="shared" si="4"/>
        <v>0</v>
      </c>
      <c r="K112" s="8"/>
      <c r="L112" s="8"/>
      <c r="M112" s="8"/>
      <c r="N112" s="83"/>
    </row>
    <row r="113" spans="1:14">
      <c r="A113" s="18" t="s">
        <v>109</v>
      </c>
      <c r="C113" s="5" t="s">
        <v>110</v>
      </c>
      <c r="D113" s="8" t="s">
        <v>111</v>
      </c>
      <c r="E113" s="53">
        <f>+'2a - Cost Support'!E144</f>
        <v>997719.60000000009</v>
      </c>
      <c r="F113" s="8"/>
      <c r="G113" s="8" t="s">
        <v>52</v>
      </c>
      <c r="H113" s="85">
        <v>1</v>
      </c>
      <c r="I113" s="8"/>
      <c r="J113" s="35">
        <f t="shared" si="4"/>
        <v>997719.60000000009</v>
      </c>
      <c r="K113" s="8"/>
      <c r="L113" s="8"/>
      <c r="M113" s="8"/>
      <c r="N113" s="83"/>
    </row>
    <row r="114" spans="1:14">
      <c r="A114" s="18">
        <f>+A111+1</f>
        <v>34</v>
      </c>
      <c r="C114" s="5" t="s">
        <v>112</v>
      </c>
      <c r="D114" s="8" t="s">
        <v>113</v>
      </c>
      <c r="E114" s="82">
        <v>1270344</v>
      </c>
      <c r="F114" s="8"/>
      <c r="G114" s="8" t="s">
        <v>70</v>
      </c>
      <c r="H114" s="85">
        <f>+J$183</f>
        <v>1</v>
      </c>
      <c r="I114" s="8"/>
      <c r="J114" s="35">
        <f t="shared" si="4"/>
        <v>1270344</v>
      </c>
      <c r="K114" s="8"/>
      <c r="L114" s="8"/>
      <c r="M114" s="8"/>
    </row>
    <row r="115" spans="1:14">
      <c r="A115" s="18">
        <f t="shared" si="3"/>
        <v>35</v>
      </c>
      <c r="C115" s="5" t="s">
        <v>114</v>
      </c>
      <c r="D115" s="5" t="s">
        <v>115</v>
      </c>
      <c r="E115" s="53">
        <f>+'2a - Cost Support'!G76+'2a - Cost Support'!G89+'2a - Cost Support'!I107</f>
        <v>0</v>
      </c>
      <c r="F115" s="8"/>
      <c r="G115" s="8" t="s">
        <v>70</v>
      </c>
      <c r="H115" s="34">
        <f>+J$183</f>
        <v>1</v>
      </c>
      <c r="I115" s="8"/>
      <c r="J115" s="35">
        <f t="shared" si="4"/>
        <v>0</v>
      </c>
      <c r="K115" s="8"/>
      <c r="L115" s="8"/>
      <c r="M115" s="8"/>
    </row>
    <row r="116" spans="1:14">
      <c r="A116" s="18">
        <f t="shared" si="3"/>
        <v>36</v>
      </c>
      <c r="C116" s="5" t="s">
        <v>116</v>
      </c>
      <c r="D116" s="5" t="s">
        <v>117</v>
      </c>
      <c r="E116" s="53">
        <f>+'2a - Cost Support'!H89</f>
        <v>0</v>
      </c>
      <c r="F116" s="8"/>
      <c r="G116" s="8" t="s">
        <v>70</v>
      </c>
      <c r="H116" s="34">
        <f>+J$183</f>
        <v>1</v>
      </c>
      <c r="I116" s="8"/>
      <c r="J116" s="35">
        <f t="shared" si="4"/>
        <v>0</v>
      </c>
      <c r="K116" s="8"/>
      <c r="L116" s="8"/>
      <c r="M116" s="8"/>
    </row>
    <row r="117" spans="1:14">
      <c r="A117" s="18">
        <f t="shared" si="3"/>
        <v>37</v>
      </c>
      <c r="C117" s="5" t="s">
        <v>118</v>
      </c>
      <c r="D117" s="8" t="s">
        <v>119</v>
      </c>
      <c r="E117" s="53">
        <f>+'2a - Cost Support'!E167</f>
        <v>0</v>
      </c>
      <c r="F117" s="8"/>
      <c r="G117" s="8" t="s">
        <v>70</v>
      </c>
      <c r="H117" s="34">
        <f>+J$183</f>
        <v>1</v>
      </c>
      <c r="I117" s="8"/>
      <c r="J117" s="35">
        <f t="shared" si="4"/>
        <v>0</v>
      </c>
      <c r="K117" s="8"/>
      <c r="L117" s="8"/>
      <c r="M117" s="8"/>
    </row>
    <row r="118" spans="1:14">
      <c r="A118" s="18">
        <f>+A117+1</f>
        <v>38</v>
      </c>
      <c r="C118" s="5" t="str">
        <f>"TOTAL O&amp;M and A&amp;G  (sum lines "&amp;A110&amp;", "&amp;A112&amp;", "&amp;A113&amp;",  "&amp;A114&amp;", "&amp;A116&amp;", "&amp;A117&amp;" less lines "&amp;A111&amp;" &amp; "&amp;A115&amp;")"</f>
        <v>TOTAL O&amp;M and A&amp;G  (sum lines 32, 33a, 33b,  34, 36, 37 less lines 33 &amp; 35)</v>
      </c>
      <c r="D118" s="8"/>
      <c r="E118" s="35">
        <f>E110+E112+E113+E114+E116+E117-E111-E115</f>
        <v>10027455.6</v>
      </c>
      <c r="F118" s="8"/>
      <c r="G118" s="8"/>
      <c r="H118" s="8"/>
      <c r="I118" s="8"/>
      <c r="J118" s="35">
        <f>+J110+J114+J116+J117-J111-J115+J112+J113</f>
        <v>10027455.6</v>
      </c>
      <c r="K118" s="8"/>
      <c r="L118" s="8"/>
      <c r="M118" s="8"/>
    </row>
    <row r="119" spans="1:14">
      <c r="A119" s="18"/>
      <c r="D119" s="8"/>
      <c r="E119" s="35"/>
      <c r="F119" s="8"/>
      <c r="G119" s="8"/>
      <c r="H119" s="8"/>
      <c r="I119" s="8"/>
      <c r="J119" s="35"/>
      <c r="K119" s="8"/>
      <c r="L119" s="8"/>
      <c r="M119" s="8"/>
    </row>
    <row r="120" spans="1:14">
      <c r="A120" s="18">
        <f>+A118+1</f>
        <v>39</v>
      </c>
      <c r="C120" s="5" t="s">
        <v>120</v>
      </c>
      <c r="D120" s="8"/>
      <c r="E120" s="35"/>
      <c r="F120" s="8"/>
      <c r="G120" s="8"/>
      <c r="H120" s="8"/>
      <c r="I120" s="8"/>
      <c r="J120" s="35"/>
      <c r="K120" s="8"/>
      <c r="L120" s="8"/>
      <c r="M120" s="8"/>
    </row>
    <row r="121" spans="1:14">
      <c r="A121" s="18">
        <f>+A120+1</f>
        <v>40</v>
      </c>
      <c r="C121" s="5" t="str">
        <f>+C110</f>
        <v xml:space="preserve">  Transmission </v>
      </c>
      <c r="D121" s="8" t="s">
        <v>121</v>
      </c>
      <c r="E121" s="82">
        <v>1954100.122341</v>
      </c>
      <c r="F121" s="8"/>
      <c r="G121" s="8" t="s">
        <v>67</v>
      </c>
      <c r="H121" s="34">
        <f>+J$177</f>
        <v>1</v>
      </c>
      <c r="I121" s="8"/>
      <c r="J121" s="35">
        <f>+H121*E121</f>
        <v>1954100.122341</v>
      </c>
      <c r="K121" s="8"/>
      <c r="L121" s="8"/>
      <c r="M121" s="8"/>
      <c r="N121" s="83"/>
    </row>
    <row r="122" spans="1:14">
      <c r="A122" s="18">
        <f>+A121+1</f>
        <v>41</v>
      </c>
      <c r="C122" s="5" t="s">
        <v>122</v>
      </c>
      <c r="D122" s="8" t="s">
        <v>123</v>
      </c>
      <c r="E122" s="82">
        <v>274241.37384999997</v>
      </c>
      <c r="F122" s="8"/>
      <c r="G122" s="8" t="s">
        <v>70</v>
      </c>
      <c r="H122" s="34">
        <f>+J$183</f>
        <v>1</v>
      </c>
      <c r="I122" s="8"/>
      <c r="J122" s="35">
        <f>+H122*E122</f>
        <v>274241.37384999997</v>
      </c>
      <c r="K122" s="8"/>
      <c r="L122" s="8"/>
      <c r="M122" s="8"/>
      <c r="N122" s="86"/>
    </row>
    <row r="123" spans="1:14">
      <c r="A123" s="18">
        <f>+A122+1</f>
        <v>42</v>
      </c>
      <c r="C123" s="66" t="s">
        <v>124</v>
      </c>
      <c r="D123" s="67" t="s">
        <v>125</v>
      </c>
      <c r="E123" s="68">
        <f>+'2a - Cost Support'!F9</f>
        <v>0</v>
      </c>
      <c r="F123" s="67"/>
      <c r="G123" s="67" t="s">
        <v>52</v>
      </c>
      <c r="H123" s="69">
        <v>1</v>
      </c>
      <c r="I123" s="67"/>
      <c r="J123" s="70">
        <f>+H123*E123</f>
        <v>0</v>
      </c>
      <c r="K123" s="8"/>
      <c r="L123" s="8"/>
      <c r="M123" s="8"/>
      <c r="N123" s="86"/>
    </row>
    <row r="124" spans="1:14">
      <c r="A124" s="18">
        <f>+A123+1</f>
        <v>43</v>
      </c>
      <c r="C124" s="71" t="str">
        <f>"TOTAL DEPRECIATION (Sum lines "&amp;A121&amp;"-"&amp;A123&amp;")"</f>
        <v>TOTAL DEPRECIATION (Sum lines 40-42)</v>
      </c>
      <c r="D124" s="8"/>
      <c r="E124" s="35">
        <f>SUM(E121:E123)</f>
        <v>2228341.4961910001</v>
      </c>
      <c r="F124" s="8"/>
      <c r="G124" s="8"/>
      <c r="H124" s="34"/>
      <c r="I124" s="8"/>
      <c r="J124" s="35">
        <f>SUM(J121:J123)</f>
        <v>2228341.4961910001</v>
      </c>
      <c r="K124" s="8"/>
      <c r="L124" s="8"/>
      <c r="M124" s="8"/>
    </row>
    <row r="125" spans="1:14">
      <c r="A125" s="18"/>
      <c r="D125" s="8"/>
      <c r="E125" s="35"/>
      <c r="F125" s="8"/>
      <c r="G125" s="8"/>
      <c r="H125" s="34"/>
      <c r="I125" s="8"/>
      <c r="J125" s="35"/>
      <c r="K125" s="8"/>
      <c r="L125" s="8"/>
      <c r="M125" s="8"/>
    </row>
    <row r="126" spans="1:14">
      <c r="A126" s="18">
        <f>+A124+1</f>
        <v>44</v>
      </c>
      <c r="C126" s="5" t="str">
        <f>"TAXES OTHER THAN INCOME TAXES  (Note "&amp;A227&amp;")"</f>
        <v>TAXES OTHER THAN INCOME TAXES  (Note E)</v>
      </c>
      <c r="E126" s="35"/>
      <c r="F126" s="8"/>
      <c r="G126" s="8"/>
      <c r="H126" s="34"/>
      <c r="I126" s="8"/>
      <c r="J126" s="35"/>
      <c r="K126" s="8"/>
      <c r="L126" s="8"/>
      <c r="M126" s="8"/>
    </row>
    <row r="127" spans="1:14">
      <c r="A127" s="18">
        <f t="shared" ref="A127:A133" si="5">+A126+1</f>
        <v>45</v>
      </c>
      <c r="C127" s="5" t="s">
        <v>126</v>
      </c>
      <c r="E127" s="35"/>
      <c r="F127" s="8"/>
      <c r="G127" s="8"/>
      <c r="H127" s="34"/>
      <c r="I127" s="8"/>
      <c r="J127" s="35"/>
      <c r="K127" s="8"/>
      <c r="L127" s="8"/>
      <c r="M127" s="8"/>
    </row>
    <row r="128" spans="1:14">
      <c r="A128" s="18">
        <f t="shared" si="5"/>
        <v>46</v>
      </c>
      <c r="C128" s="5" t="s">
        <v>127</v>
      </c>
      <c r="D128" s="87" t="s">
        <v>128</v>
      </c>
      <c r="E128" s="82">
        <v>0</v>
      </c>
      <c r="F128" s="8"/>
      <c r="G128" s="8" t="s">
        <v>70</v>
      </c>
      <c r="H128" s="34">
        <f>+J$183</f>
        <v>1</v>
      </c>
      <c r="I128" s="8"/>
      <c r="J128" s="35">
        <f>+H128*E128</f>
        <v>0</v>
      </c>
      <c r="K128" s="8"/>
      <c r="L128" s="8"/>
      <c r="M128" s="8"/>
    </row>
    <row r="129" spans="1:14">
      <c r="A129" s="18">
        <f t="shared" si="5"/>
        <v>47</v>
      </c>
      <c r="C129" s="5" t="s">
        <v>129</v>
      </c>
      <c r="D129" s="87" t="s">
        <v>128</v>
      </c>
      <c r="E129" s="82">
        <v>0</v>
      </c>
      <c r="F129" s="8"/>
      <c r="G129" s="8" t="str">
        <f>+G128</f>
        <v>W/S</v>
      </c>
      <c r="H129" s="34">
        <f>+J$183</f>
        <v>1</v>
      </c>
      <c r="I129" s="8"/>
      <c r="J129" s="35">
        <f>+H129*E129</f>
        <v>0</v>
      </c>
      <c r="K129" s="8"/>
      <c r="L129" s="8"/>
      <c r="M129" s="8"/>
    </row>
    <row r="130" spans="1:14">
      <c r="A130" s="18">
        <f t="shared" si="5"/>
        <v>48</v>
      </c>
      <c r="C130" s="5" t="s">
        <v>130</v>
      </c>
      <c r="D130" s="88" t="s">
        <v>3</v>
      </c>
      <c r="E130" s="35"/>
      <c r="F130" s="8"/>
      <c r="G130" s="8"/>
      <c r="H130" s="34"/>
      <c r="I130" s="8"/>
      <c r="J130" s="35"/>
      <c r="K130" s="8"/>
      <c r="L130" s="8"/>
      <c r="M130" s="8"/>
    </row>
    <row r="131" spans="1:14">
      <c r="A131" s="18">
        <f t="shared" si="5"/>
        <v>49</v>
      </c>
      <c r="C131" s="5" t="s">
        <v>131</v>
      </c>
      <c r="D131" s="87" t="s">
        <v>128</v>
      </c>
      <c r="E131" s="82">
        <v>1340791.0982350199</v>
      </c>
      <c r="F131" s="8"/>
      <c r="G131" s="8" t="s">
        <v>100</v>
      </c>
      <c r="H131" s="63">
        <f>+H$68</f>
        <v>1</v>
      </c>
      <c r="I131" s="8"/>
      <c r="J131" s="35">
        <f>+H131*E131</f>
        <v>1340791.0982350199</v>
      </c>
      <c r="L131" s="89"/>
      <c r="M131" s="8"/>
    </row>
    <row r="132" spans="1:14">
      <c r="A132" s="18">
        <f t="shared" si="5"/>
        <v>50</v>
      </c>
      <c r="C132" s="5" t="s">
        <v>132</v>
      </c>
      <c r="D132" s="87" t="s">
        <v>128</v>
      </c>
      <c r="E132" s="82">
        <v>0</v>
      </c>
      <c r="F132" s="8"/>
      <c r="G132" s="8" t="s">
        <v>133</v>
      </c>
      <c r="H132" s="90">
        <v>0</v>
      </c>
      <c r="I132" s="8"/>
      <c r="J132" s="35">
        <f>+H132*E132</f>
        <v>0</v>
      </c>
      <c r="K132" s="8"/>
      <c r="L132" s="8"/>
      <c r="M132" s="8"/>
    </row>
    <row r="133" spans="1:14">
      <c r="A133" s="18">
        <f t="shared" si="5"/>
        <v>51</v>
      </c>
      <c r="C133" s="5" t="s">
        <v>134</v>
      </c>
      <c r="D133" s="87" t="s">
        <v>128</v>
      </c>
      <c r="E133" s="82">
        <v>0</v>
      </c>
      <c r="F133" s="8"/>
      <c r="G133" s="8" t="str">
        <f>+G131</f>
        <v>GP</v>
      </c>
      <c r="H133" s="63">
        <f>+H$68</f>
        <v>1</v>
      </c>
      <c r="I133" s="8"/>
      <c r="J133" s="35">
        <f>+H133*E133</f>
        <v>0</v>
      </c>
      <c r="K133" s="8"/>
      <c r="L133" s="8"/>
      <c r="M133" s="8"/>
    </row>
    <row r="134" spans="1:14">
      <c r="A134" s="18">
        <f>+A133+1</f>
        <v>52</v>
      </c>
      <c r="C134" s="5" t="str">
        <f>"TOTAL OTHER TAXES  (sum lines "&amp;A128&amp;"-"&amp;A129&amp;" and lines "&amp;A131&amp;"-"&amp;A133&amp;")"</f>
        <v>TOTAL OTHER TAXES  (sum lines 46-47 and lines 49-51)</v>
      </c>
      <c r="D134" s="8"/>
      <c r="E134" s="35">
        <f>SUM(E128:E133)</f>
        <v>1340791.0982350199</v>
      </c>
      <c r="F134" s="8"/>
      <c r="G134" s="8"/>
      <c r="H134" s="34"/>
      <c r="I134" s="8"/>
      <c r="J134" s="35">
        <f>SUM(J128:J133)</f>
        <v>1340791.0982350199</v>
      </c>
      <c r="K134" s="8"/>
      <c r="L134" s="8"/>
      <c r="M134" s="8"/>
    </row>
    <row r="135" spans="1:14">
      <c r="A135" s="18"/>
      <c r="D135" s="8"/>
      <c r="E135" s="8"/>
      <c r="F135" s="8"/>
      <c r="G135" s="8"/>
      <c r="H135" s="34"/>
      <c r="I135" s="8"/>
      <c r="J135" s="35"/>
      <c r="K135" s="8"/>
      <c r="L135" s="8"/>
      <c r="M135" s="8"/>
    </row>
    <row r="136" spans="1:14">
      <c r="A136" s="18">
        <f>+A134+1</f>
        <v>53</v>
      </c>
      <c r="C136" s="5" t="s">
        <v>135</v>
      </c>
      <c r="D136" s="8" t="str">
        <f>" (Note "&amp;A228&amp;")"</f>
        <v xml:space="preserve"> (Note F)</v>
      </c>
      <c r="E136" s="8"/>
      <c r="F136" s="8"/>
      <c r="H136" s="58"/>
      <c r="I136" s="8"/>
      <c r="J136" s="35"/>
      <c r="K136" s="8"/>
      <c r="L136" s="8"/>
      <c r="M136" s="8"/>
      <c r="N136" s="86"/>
    </row>
    <row r="137" spans="1:14">
      <c r="A137" s="18">
        <f t="shared" ref="A137:A142" si="6">+A136+1</f>
        <v>54</v>
      </c>
      <c r="C137" s="91" t="s">
        <v>136</v>
      </c>
      <c r="D137" s="8"/>
      <c r="E137" s="90">
        <f>IF(E229&gt;0,1-(((1-E230)*(1-E229))/(1-E230*E229*E231)),0)</f>
        <v>0.27983599999999997</v>
      </c>
      <c r="F137" s="8"/>
      <c r="H137" s="92"/>
      <c r="I137" s="8"/>
      <c r="J137" s="35"/>
      <c r="K137" s="8"/>
      <c r="L137" s="8"/>
      <c r="M137" s="8"/>
      <c r="N137" s="86"/>
    </row>
    <row r="138" spans="1:14">
      <c r="A138" s="18">
        <f t="shared" si="6"/>
        <v>55</v>
      </c>
      <c r="C138" s="5" t="s">
        <v>137</v>
      </c>
      <c r="D138" s="8"/>
      <c r="E138" s="90">
        <f>IF(J190&gt;0,(E137/(1-E137))*(1-J187/J190),0)</f>
        <v>0.30772053956929957</v>
      </c>
      <c r="F138" s="8"/>
      <c r="H138" s="92"/>
      <c r="I138" s="8"/>
      <c r="J138" s="35"/>
      <c r="K138" s="8"/>
      <c r="L138" s="8"/>
      <c r="M138" s="8"/>
      <c r="N138" s="86"/>
    </row>
    <row r="139" spans="1:14">
      <c r="A139" s="18">
        <f t="shared" si="6"/>
        <v>56</v>
      </c>
      <c r="C139" s="5" t="str">
        <f>"       where WCLTD=(line "&amp;A187&amp;") and R= (line "&amp;A190&amp;")"</f>
        <v xml:space="preserve">       where WCLTD=(line 80) and R= (line 83)</v>
      </c>
      <c r="D139" s="8"/>
      <c r="E139" s="8"/>
      <c r="F139" s="8"/>
      <c r="H139" s="92"/>
      <c r="I139" s="8"/>
      <c r="J139" s="35"/>
      <c r="K139" s="8"/>
      <c r="L139" s="8"/>
      <c r="M139" s="8"/>
      <c r="N139" s="86"/>
    </row>
    <row r="140" spans="1:14">
      <c r="A140" s="18">
        <f t="shared" si="6"/>
        <v>57</v>
      </c>
      <c r="C140" s="5" t="str">
        <f>"       and FIT, SIT &amp; p are as given in footnote "&amp;A228&amp;"."</f>
        <v xml:space="preserve">       and FIT, SIT &amp; p are as given in footnote F.</v>
      </c>
      <c r="D140" s="8"/>
      <c r="E140" s="8"/>
      <c r="F140" s="8"/>
      <c r="H140" s="92"/>
      <c r="I140" s="8"/>
      <c r="J140" s="35"/>
      <c r="K140" s="8"/>
      <c r="L140" s="8"/>
      <c r="M140" s="8"/>
      <c r="N140" s="86"/>
    </row>
    <row r="141" spans="1:14">
      <c r="A141" s="18">
        <f t="shared" si="6"/>
        <v>58</v>
      </c>
      <c r="C141" s="91" t="str">
        <f>"      1 / (1 - T)  = (T from line "&amp;A137&amp;")"</f>
        <v xml:space="preserve">      1 / (1 - T)  = (T from line 54)</v>
      </c>
      <c r="D141" s="8"/>
      <c r="E141" s="90">
        <f>IF(E137&gt;0,1/(1-E137),0)</f>
        <v>1.3885726029071155</v>
      </c>
      <c r="F141" s="8"/>
      <c r="H141" s="92"/>
      <c r="I141" s="8"/>
      <c r="J141" s="35"/>
      <c r="K141" s="8"/>
      <c r="L141" s="8"/>
      <c r="M141" s="8"/>
      <c r="N141" s="86"/>
    </row>
    <row r="142" spans="1:14">
      <c r="A142" s="18">
        <f t="shared" si="6"/>
        <v>59</v>
      </c>
      <c r="C142" s="5" t="s">
        <v>138</v>
      </c>
      <c r="D142" s="8"/>
      <c r="E142" s="82">
        <v>0</v>
      </c>
      <c r="F142" s="8"/>
      <c r="H142" s="92"/>
      <c r="I142" s="8"/>
      <c r="J142" s="35"/>
      <c r="K142" s="8"/>
      <c r="L142" s="8"/>
      <c r="M142" s="8"/>
      <c r="N142" s="86"/>
    </row>
    <row r="143" spans="1:14">
      <c r="A143" s="18" t="s">
        <v>139</v>
      </c>
      <c r="C143" s="5" t="s">
        <v>140</v>
      </c>
      <c r="D143" s="8" t="s">
        <v>141</v>
      </c>
      <c r="E143" s="35">
        <f>+'12 - Income Tax Adjustment'!D10</f>
        <v>277228.5</v>
      </c>
      <c r="F143" s="8"/>
      <c r="H143" s="92"/>
      <c r="I143" s="8"/>
      <c r="J143" s="35">
        <f>+'12 - Income Tax Adjustment'!D10</f>
        <v>277228.5</v>
      </c>
      <c r="K143" s="8"/>
      <c r="L143" s="8"/>
      <c r="M143" s="8"/>
      <c r="N143" s="86"/>
    </row>
    <row r="144" spans="1:14">
      <c r="A144" s="18"/>
      <c r="D144" s="8"/>
      <c r="E144" s="35"/>
      <c r="F144" s="8"/>
      <c r="H144" s="92"/>
      <c r="I144" s="8"/>
      <c r="J144" s="35"/>
      <c r="K144" s="8"/>
      <c r="L144" s="8"/>
      <c r="M144" s="8"/>
      <c r="N144" s="86"/>
    </row>
    <row r="145" spans="1:14">
      <c r="A145" s="18">
        <f>+A142+1</f>
        <v>60</v>
      </c>
      <c r="C145" s="91" t="str">
        <f>"Income Tax Calculation = line "&amp;A138&amp;" * line "&amp;A151&amp;""</f>
        <v>Income Tax Calculation = line 55 * line 64</v>
      </c>
      <c r="D145" s="93"/>
      <c r="E145" s="35">
        <f>+E138*E151</f>
        <v>2501010.7521359851</v>
      </c>
      <c r="F145" s="8"/>
      <c r="G145" s="8" t="s">
        <v>133</v>
      </c>
      <c r="H145" s="40"/>
      <c r="I145" s="8"/>
      <c r="J145" s="35">
        <f>+E138*J151</f>
        <v>2501010.7521359851</v>
      </c>
      <c r="K145" s="8"/>
      <c r="L145" s="8"/>
      <c r="M145" s="8"/>
    </row>
    <row r="146" spans="1:14">
      <c r="A146" s="18">
        <f>+A145+1</f>
        <v>61</v>
      </c>
      <c r="C146" s="5" t="str">
        <f>"ITC adjustment (line "&amp;A141&amp;" * line "&amp;A142&amp;")"</f>
        <v>ITC adjustment (line 58 * line 59)</v>
      </c>
      <c r="D146" s="93"/>
      <c r="E146" s="94">
        <f>+E141*E142</f>
        <v>0</v>
      </c>
      <c r="F146" s="8"/>
      <c r="G146" s="5" t="s">
        <v>83</v>
      </c>
      <c r="H146" s="65">
        <f>+H$78</f>
        <v>1</v>
      </c>
      <c r="I146" s="8"/>
      <c r="J146" s="94">
        <f>+H146*E146</f>
        <v>0</v>
      </c>
      <c r="K146" s="8"/>
      <c r="L146" s="8"/>
      <c r="M146" s="8"/>
    </row>
    <row r="147" spans="1:14" s="97" customFormat="1">
      <c r="A147" s="95" t="s">
        <v>142</v>
      </c>
      <c r="B147" s="66"/>
      <c r="C147" s="66" t="s">
        <v>143</v>
      </c>
      <c r="D147" s="96"/>
      <c r="E147" s="70">
        <f>E137/(1-E137)*E143</f>
        <v>107723.39984503528</v>
      </c>
      <c r="F147" s="67"/>
      <c r="G147" s="66"/>
      <c r="H147" s="73"/>
      <c r="I147" s="67"/>
      <c r="J147" s="70">
        <f>E137/(1-E137)*J143</f>
        <v>107723.39984503528</v>
      </c>
      <c r="K147" s="67"/>
      <c r="L147" s="67"/>
      <c r="M147" s="67"/>
    </row>
    <row r="148" spans="1:14">
      <c r="A148" s="18">
        <f>+A146+1</f>
        <v>62</v>
      </c>
      <c r="C148" s="98" t="s">
        <v>144</v>
      </c>
      <c r="D148" s="5" t="str">
        <f>"(line "&amp;A145&amp;" plus line "&amp;A146&amp;" plus line "&amp;A147&amp;")"</f>
        <v>(line 60 plus line 61 plus line 61a)</v>
      </c>
      <c r="E148" s="99">
        <f>+E146+E145+E147</f>
        <v>2608734.1519810203</v>
      </c>
      <c r="F148" s="8"/>
      <c r="G148" s="8" t="s">
        <v>3</v>
      </c>
      <c r="H148" s="40" t="s">
        <v>3</v>
      </c>
      <c r="I148" s="8"/>
      <c r="J148" s="99">
        <f>+J145+J146+J147</f>
        <v>2608734.1519810203</v>
      </c>
      <c r="K148" s="8"/>
      <c r="L148" s="100"/>
      <c r="M148" s="8"/>
    </row>
    <row r="149" spans="1:14">
      <c r="A149" s="18"/>
      <c r="D149" s="100"/>
      <c r="E149" s="35"/>
      <c r="F149" s="8"/>
      <c r="G149" s="8"/>
      <c r="H149" s="40"/>
      <c r="I149" s="8"/>
      <c r="J149" s="35"/>
      <c r="K149" s="8"/>
      <c r="L149" s="100"/>
      <c r="M149" s="8"/>
    </row>
    <row r="150" spans="1:14">
      <c r="A150" s="18">
        <f>+A148+1</f>
        <v>63</v>
      </c>
      <c r="C150" s="5" t="s">
        <v>145</v>
      </c>
      <c r="D150" s="59"/>
      <c r="E150" s="35"/>
      <c r="H150" s="92"/>
      <c r="I150" s="8"/>
      <c r="K150" s="8"/>
      <c r="L150" s="100"/>
      <c r="M150" s="8"/>
      <c r="N150" s="86"/>
    </row>
    <row r="151" spans="1:14">
      <c r="A151" s="18">
        <f>+A150+1</f>
        <v>64</v>
      </c>
      <c r="C151" s="98" t="str">
        <f>"  [ Rate Base (line "&amp;A97&amp;") * Rate of Return (line "&amp;A190&amp;")]"</f>
        <v xml:space="preserve">  [ Rate Base (line 30) * Rate of Return (line 83)]</v>
      </c>
      <c r="E151" s="35">
        <f>+J190*E97</f>
        <v>8127539.2134581581</v>
      </c>
      <c r="F151" s="8"/>
      <c r="G151" s="8" t="s">
        <v>133</v>
      </c>
      <c r="H151" s="92"/>
      <c r="I151" s="8"/>
      <c r="J151" s="35">
        <f>+J97*J190</f>
        <v>8127539.2134581581</v>
      </c>
      <c r="K151" s="8"/>
      <c r="L151" s="100"/>
      <c r="M151" s="8"/>
      <c r="N151" s="86"/>
    </row>
    <row r="152" spans="1:14">
      <c r="A152" s="18"/>
      <c r="E152" s="8"/>
      <c r="F152" s="8"/>
      <c r="G152" s="8"/>
      <c r="H152" s="92"/>
      <c r="I152" s="8"/>
      <c r="J152" s="94"/>
      <c r="K152" s="8"/>
      <c r="L152" s="100"/>
      <c r="M152" s="8"/>
      <c r="N152" s="86"/>
    </row>
    <row r="153" spans="1:14">
      <c r="A153" s="18">
        <f>+A151+1</f>
        <v>65</v>
      </c>
      <c r="C153" s="5" t="str">
        <f>"Rev Requirement before Incenitive Projects  (sum lines "&amp;A118&amp;", "&amp;A124&amp;", "&amp;A134&amp;", "&amp;A148&amp;", "&amp;A151&amp;")"</f>
        <v>Rev Requirement before Incenitive Projects  (sum lines 38, 43, 52, 62, 64)</v>
      </c>
      <c r="E153" s="94">
        <f>+E118+E124+E134+E148+E151</f>
        <v>24332861.559865199</v>
      </c>
      <c r="F153" s="8"/>
      <c r="G153" s="8"/>
      <c r="H153" s="92"/>
      <c r="I153" s="8"/>
      <c r="J153" s="94">
        <f>+J118+J124+J134+J148+J151</f>
        <v>24332861.559865199</v>
      </c>
      <c r="K153" s="8"/>
      <c r="L153" s="100"/>
      <c r="M153" s="8"/>
      <c r="N153" s="86"/>
    </row>
    <row r="154" spans="1:14">
      <c r="A154" s="18"/>
      <c r="E154" s="101"/>
      <c r="F154" s="8"/>
      <c r="G154" s="8"/>
      <c r="H154" s="92"/>
      <c r="I154" s="8"/>
      <c r="J154" s="94"/>
      <c r="K154" s="8"/>
      <c r="L154" s="100"/>
      <c r="M154" s="8"/>
      <c r="N154" s="86"/>
    </row>
    <row r="155" spans="1:14">
      <c r="A155" s="18">
        <f>+A153+1</f>
        <v>66</v>
      </c>
      <c r="C155" s="5" t="s">
        <v>146</v>
      </c>
      <c r="D155" s="5" t="s">
        <v>147</v>
      </c>
      <c r="E155" s="64">
        <f>+'4 - Cap Adds'!L31</f>
        <v>0</v>
      </c>
      <c r="F155" s="8"/>
      <c r="G155" s="8" t="s">
        <v>52</v>
      </c>
      <c r="H155" s="58">
        <v>1</v>
      </c>
      <c r="I155" s="8"/>
      <c r="J155" s="94">
        <f>+H155*E155</f>
        <v>0</v>
      </c>
      <c r="L155" s="8"/>
      <c r="M155" s="8"/>
      <c r="N155" s="86"/>
    </row>
    <row r="156" spans="1:14">
      <c r="A156" s="18"/>
      <c r="E156" s="8"/>
      <c r="F156" s="8"/>
      <c r="G156" s="8"/>
      <c r="H156" s="92"/>
      <c r="I156" s="8"/>
      <c r="J156" s="94"/>
      <c r="K156" s="8"/>
      <c r="L156" s="8"/>
      <c r="M156" s="8"/>
      <c r="N156" s="86"/>
    </row>
    <row r="157" spans="1:14" ht="16.5" thickBot="1">
      <c r="A157" s="18">
        <f>+A155+1</f>
        <v>67</v>
      </c>
      <c r="C157" s="5" t="str">
        <f>"Total Revenue Requirement  (sum lines "&amp;A153&amp;" &amp; "&amp;A155&amp;")"</f>
        <v>Total Revenue Requirement  (sum lines 65 &amp; 66)</v>
      </c>
      <c r="D157" s="8"/>
      <c r="E157" s="75">
        <f>+E153+E155</f>
        <v>24332861.559865199</v>
      </c>
      <c r="F157" s="8"/>
      <c r="G157" s="8"/>
      <c r="H157" s="8"/>
      <c r="I157" s="8"/>
      <c r="J157" s="75">
        <f>+J153+J155</f>
        <v>24332861.559865199</v>
      </c>
      <c r="K157" s="8"/>
      <c r="L157" s="102"/>
      <c r="M157" s="8"/>
    </row>
    <row r="158" spans="1:14" ht="16.5" thickTop="1">
      <c r="A158" s="18"/>
      <c r="C158" s="1"/>
      <c r="D158" s="1"/>
      <c r="E158" s="2"/>
      <c r="F158" s="1"/>
      <c r="G158" s="1"/>
      <c r="H158" s="1"/>
      <c r="I158" s="1"/>
      <c r="J158" s="1"/>
      <c r="K158" s="18"/>
      <c r="L158" s="18"/>
      <c r="M158" s="3"/>
    </row>
    <row r="159" spans="1:14">
      <c r="A159" s="18"/>
      <c r="C159" s="1"/>
      <c r="D159" s="1"/>
      <c r="E159" s="2"/>
      <c r="F159" s="1"/>
      <c r="G159" s="1"/>
      <c r="H159" s="1"/>
      <c r="I159" s="1"/>
      <c r="J159" s="3"/>
      <c r="K159" s="3"/>
      <c r="L159" s="3"/>
      <c r="M159" s="3" t="s">
        <v>0</v>
      </c>
    </row>
    <row r="160" spans="1:14">
      <c r="A160" s="18"/>
      <c r="C160" s="1"/>
      <c r="D160" s="1"/>
      <c r="E160" s="2"/>
      <c r="F160" s="1"/>
      <c r="G160" s="1"/>
      <c r="H160" s="1"/>
      <c r="I160" s="1"/>
      <c r="J160" s="6"/>
      <c r="K160" s="6"/>
      <c r="L160" s="6"/>
      <c r="M160" s="6" t="s">
        <v>148</v>
      </c>
    </row>
    <row r="161" spans="1:13">
      <c r="A161" s="18"/>
      <c r="C161" s="1"/>
      <c r="D161" s="1"/>
      <c r="E161" s="2"/>
      <c r="F161" s="1"/>
      <c r="G161" s="1"/>
      <c r="H161" s="1"/>
      <c r="I161" s="1"/>
      <c r="J161" s="1"/>
      <c r="L161" s="6"/>
      <c r="M161" s="6"/>
    </row>
    <row r="162" spans="1:13">
      <c r="A162" s="18"/>
      <c r="C162" s="1"/>
      <c r="D162" s="1"/>
      <c r="E162" s="2"/>
      <c r="F162" s="1"/>
      <c r="G162" s="1"/>
      <c r="H162" s="1"/>
      <c r="I162" s="1"/>
      <c r="J162" s="1"/>
      <c r="L162" s="6"/>
    </row>
    <row r="163" spans="1:13">
      <c r="A163" s="18"/>
      <c r="C163" s="1" t="s">
        <v>37</v>
      </c>
      <c r="D163" s="7"/>
      <c r="E163" s="18" t="s">
        <v>149</v>
      </c>
      <c r="F163" s="1"/>
      <c r="G163" s="1"/>
      <c r="H163" s="1"/>
      <c r="I163" s="1"/>
    </row>
    <row r="164" spans="1:13">
      <c r="A164" s="18"/>
      <c r="C164" s="1"/>
      <c r="D164" s="8"/>
      <c r="E164" s="72" t="s">
        <v>4</v>
      </c>
      <c r="F164" s="8"/>
      <c r="G164" s="8"/>
      <c r="H164" s="8"/>
      <c r="I164" s="1"/>
      <c r="J164" s="1"/>
    </row>
    <row r="165" spans="1:13">
      <c r="A165" s="18"/>
      <c r="E165" s="20"/>
      <c r="G165" s="103"/>
      <c r="K165" s="13"/>
      <c r="L165" s="13"/>
      <c r="M165" s="14" t="str">
        <f>+M101</f>
        <v>For the 12 months ended 12/31/2025</v>
      </c>
    </row>
    <row r="166" spans="1:13">
      <c r="A166" s="18"/>
      <c r="D166" s="854" t="s">
        <v>150</v>
      </c>
      <c r="E166" s="860"/>
      <c r="F166" s="860"/>
      <c r="G166" s="860"/>
      <c r="M166" s="17"/>
    </row>
    <row r="167" spans="1:13">
      <c r="A167" s="18"/>
      <c r="E167" s="4"/>
      <c r="K167" s="8"/>
      <c r="M167" s="46"/>
    </row>
    <row r="168" spans="1:13">
      <c r="A168" s="18"/>
      <c r="E168" s="51" t="s">
        <v>151</v>
      </c>
      <c r="K168" s="8"/>
      <c r="L168" s="8"/>
    </row>
    <row r="169" spans="1:13">
      <c r="A169" s="18"/>
      <c r="C169" s="15"/>
      <c r="K169" s="8"/>
      <c r="L169" s="8"/>
    </row>
    <row r="170" spans="1:13">
      <c r="A170" s="18">
        <f>+A157+1</f>
        <v>68</v>
      </c>
      <c r="C170" s="1" t="s">
        <v>152</v>
      </c>
      <c r="J170" s="6"/>
      <c r="K170" s="46"/>
      <c r="L170" s="46"/>
      <c r="M170" s="6"/>
    </row>
    <row r="171" spans="1:13">
      <c r="A171" s="18"/>
      <c r="C171" s="1"/>
      <c r="J171" s="46"/>
      <c r="K171" s="46"/>
      <c r="L171" s="46"/>
      <c r="M171" s="46"/>
    </row>
    <row r="172" spans="1:13">
      <c r="A172" s="18">
        <f>+A170+1</f>
        <v>69</v>
      </c>
      <c r="C172" s="1" t="str">
        <f>"Total transmission plant    (line "&amp;A66&amp;", column 3)"</f>
        <v>Total transmission plant    (line 5, column 3)</v>
      </c>
      <c r="E172" s="8"/>
      <c r="F172" s="8"/>
      <c r="G172" s="8"/>
      <c r="H172" s="8"/>
      <c r="I172" s="8"/>
      <c r="J172" s="33">
        <f>+E66</f>
        <v>73292078.200000018</v>
      </c>
      <c r="K172" s="8"/>
      <c r="L172" s="8"/>
      <c r="M172" s="8"/>
    </row>
    <row r="173" spans="1:13">
      <c r="A173" s="18">
        <f>+A172+1</f>
        <v>70</v>
      </c>
      <c r="C173" s="1" t="str">
        <f>"Less transmission plant excluded from CAISO rates       (Attach 2, line 132) (Note "&amp;A234&amp;")"</f>
        <v>Less transmission plant excluded from CAISO rates       (Attach 2, line 132) (Note H)</v>
      </c>
      <c r="J173" s="33">
        <f>+'2a - Cost Support'!G114</f>
        <v>0</v>
      </c>
      <c r="K173" s="8"/>
    </row>
    <row r="174" spans="1:13" ht="16.5" thickBot="1">
      <c r="A174" s="18">
        <f>+A173+1</f>
        <v>71</v>
      </c>
      <c r="C174" s="104" t="str">
        <f>"Less transmission plant included in OATT Ancillary Services   (Attach 2, line 132a) (Note "&amp;A234&amp;")"</f>
        <v>Less transmission plant included in OATT Ancillary Services   (Attach 2, line 132a) (Note H)</v>
      </c>
      <c r="D174" s="105"/>
      <c r="E174" s="106"/>
      <c r="F174" s="8"/>
      <c r="G174" s="8"/>
      <c r="H174" s="72"/>
      <c r="I174" s="8"/>
      <c r="J174" s="107">
        <f>+'2a - Cost Support'!G115</f>
        <v>0</v>
      </c>
      <c r="K174" s="8"/>
    </row>
    <row r="175" spans="1:13">
      <c r="A175" s="18">
        <f>+A174+1</f>
        <v>72</v>
      </c>
      <c r="C175" s="1" t="str">
        <f>"Transmission plant included in RTO rates  (line "&amp;A172&amp;" less lines "&amp;A173&amp;" &amp; "&amp;A174&amp;")"</f>
        <v>Transmission plant included in RTO rates  (line 69 less lines 70 &amp; 71)</v>
      </c>
      <c r="E175" s="8"/>
      <c r="F175" s="8"/>
      <c r="G175" s="8"/>
      <c r="H175" s="72"/>
      <c r="I175" s="8"/>
      <c r="J175" s="33">
        <f>+J172-J173-J174</f>
        <v>73292078.200000018</v>
      </c>
      <c r="K175" s="8"/>
    </row>
    <row r="176" spans="1:13">
      <c r="A176" s="18"/>
      <c r="E176" s="8"/>
      <c r="F176" s="8"/>
      <c r="G176" s="8"/>
      <c r="H176" s="72"/>
      <c r="I176" s="8"/>
      <c r="K176" s="8"/>
    </row>
    <row r="177" spans="1:14">
      <c r="A177" s="18">
        <f>+A175+1</f>
        <v>73</v>
      </c>
      <c r="C177" s="1" t="str">
        <f>"Percentage of transmission plant included in RTO Rates (line "&amp;A175&amp;" divided by line "&amp;A172&amp;") [If line "&amp;A172&amp;" equal zero, enter 1)"</f>
        <v>Percentage of transmission plant included in RTO Rates (line 72 divided by line 69) [If line 69 equal zero, enter 1)</v>
      </c>
      <c r="D177" s="26"/>
      <c r="E177" s="26"/>
      <c r="F177" s="26"/>
      <c r="G177" s="26"/>
      <c r="H177" s="48"/>
      <c r="I177" s="8" t="s">
        <v>153</v>
      </c>
      <c r="J177" s="90">
        <f>J175/J172</f>
        <v>1</v>
      </c>
      <c r="K177" s="108"/>
    </row>
    <row r="178" spans="1:14">
      <c r="A178" s="18"/>
      <c r="K178" s="8"/>
    </row>
    <row r="179" spans="1:14">
      <c r="A179" s="18">
        <f>+A177+1</f>
        <v>74</v>
      </c>
      <c r="C179" s="5" t="s">
        <v>154</v>
      </c>
      <c r="D179" s="8"/>
      <c r="F179" s="8"/>
      <c r="G179" s="8"/>
      <c r="H179" s="8"/>
      <c r="I179" s="46"/>
      <c r="J179" s="8"/>
    </row>
    <row r="180" spans="1:14" ht="16.5" thickBot="1">
      <c r="A180" s="18">
        <f>+A179+1</f>
        <v>75</v>
      </c>
      <c r="D180" s="106" t="s">
        <v>155</v>
      </c>
      <c r="E180" s="109" t="s">
        <v>156</v>
      </c>
      <c r="F180" s="109" t="s">
        <v>67</v>
      </c>
      <c r="G180" s="8"/>
      <c r="H180" s="109" t="s">
        <v>157</v>
      </c>
      <c r="I180" s="8"/>
      <c r="M180" s="8"/>
    </row>
    <row r="181" spans="1:14">
      <c r="A181" s="18">
        <f>+A180+1</f>
        <v>76</v>
      </c>
      <c r="C181" s="5" t="s">
        <v>77</v>
      </c>
      <c r="D181" s="8" t="s">
        <v>158</v>
      </c>
      <c r="E181" s="110">
        <v>0</v>
      </c>
      <c r="F181" s="33">
        <f>+J177</f>
        <v>1</v>
      </c>
      <c r="H181" s="111">
        <f>+F181*E181</f>
        <v>0</v>
      </c>
      <c r="I181" s="8"/>
      <c r="K181" s="8"/>
      <c r="L181" s="8"/>
      <c r="M181" s="8"/>
      <c r="N181" s="56"/>
    </row>
    <row r="182" spans="1:14" ht="16.5" thickBot="1">
      <c r="A182" s="18">
        <f>+A181+1</f>
        <v>77</v>
      </c>
      <c r="C182" s="5" t="s">
        <v>159</v>
      </c>
      <c r="D182" s="8" t="s">
        <v>160</v>
      </c>
      <c r="E182" s="112">
        <v>0</v>
      </c>
      <c r="F182" s="113" t="s">
        <v>161</v>
      </c>
      <c r="G182" s="113"/>
      <c r="H182" s="114"/>
      <c r="I182" s="8"/>
      <c r="J182" s="28" t="s">
        <v>162</v>
      </c>
      <c r="K182" s="8"/>
      <c r="L182" s="8"/>
      <c r="M182" s="8"/>
    </row>
    <row r="183" spans="1:14">
      <c r="A183" s="18">
        <f>+A182+1</f>
        <v>78</v>
      </c>
      <c r="C183" s="5" t="str">
        <f>"  Total  (sum lines "&amp;A181&amp;"-"&amp;A182&amp;") [W&amp;S equals 1 if there are no wages &amp; salaries]"</f>
        <v xml:space="preserve">  Total  (sum lines 76-77) [W&amp;S equals 1 if there are no wages &amp; salaries]</v>
      </c>
      <c r="D183" s="8"/>
      <c r="E183" s="111">
        <f>SUM(E181:E182)</f>
        <v>0</v>
      </c>
      <c r="F183" s="8"/>
      <c r="G183" s="8"/>
      <c r="H183" s="111">
        <f>SUM(H181:H182)</f>
        <v>0</v>
      </c>
      <c r="I183" s="47" t="s">
        <v>163</v>
      </c>
      <c r="J183" s="63">
        <v>1</v>
      </c>
      <c r="K183" s="72" t="s">
        <v>163</v>
      </c>
      <c r="L183" s="72" t="s">
        <v>70</v>
      </c>
      <c r="M183" s="8"/>
    </row>
    <row r="184" spans="1:14">
      <c r="A184" s="18"/>
      <c r="B184" s="1"/>
      <c r="C184" s="1"/>
      <c r="D184" s="8"/>
      <c r="E184" s="8"/>
      <c r="F184" s="8"/>
      <c r="G184" s="8"/>
      <c r="H184" s="8"/>
      <c r="I184" s="8"/>
      <c r="J184" s="8"/>
      <c r="K184" s="8"/>
      <c r="L184" s="115"/>
      <c r="M184" s="115"/>
    </row>
    <row r="185" spans="1:14">
      <c r="A185" s="18">
        <f>+A183+1</f>
        <v>79</v>
      </c>
      <c r="B185" s="1"/>
      <c r="C185" s="1" t="str">
        <f>"RETURN (R)      (Note "&amp;A236&amp;")"</f>
        <v>RETURN (R)      (Note J)</v>
      </c>
      <c r="D185" s="8"/>
      <c r="E185" s="1"/>
      <c r="F185" s="1"/>
      <c r="G185" s="1"/>
      <c r="H185" s="1"/>
      <c r="I185" s="1"/>
      <c r="J185" s="8"/>
      <c r="K185" s="8"/>
      <c r="L185" s="8"/>
      <c r="M185" s="8"/>
    </row>
    <row r="186" spans="1:14" ht="16.5" thickBot="1">
      <c r="A186" s="18"/>
      <c r="D186" s="8"/>
      <c r="E186" s="28" t="s">
        <v>156</v>
      </c>
      <c r="F186" s="28" t="s">
        <v>164</v>
      </c>
      <c r="G186" s="8"/>
      <c r="H186" s="109" t="s">
        <v>165</v>
      </c>
      <c r="I186" s="8"/>
      <c r="J186" s="28" t="s">
        <v>166</v>
      </c>
      <c r="K186" s="8"/>
      <c r="L186" s="8"/>
      <c r="M186" s="8"/>
    </row>
    <row r="187" spans="1:14">
      <c r="A187" s="18">
        <f>+A185+1</f>
        <v>80</v>
      </c>
      <c r="C187" s="1" t="s">
        <v>167</v>
      </c>
      <c r="D187" s="8"/>
      <c r="E187" s="116">
        <f>+'2b - Cost Support'!Q15</f>
        <v>43023891.504675552</v>
      </c>
      <c r="F187" s="117">
        <f>E187/$E$190</f>
        <v>0.4</v>
      </c>
      <c r="G187" s="118"/>
      <c r="H187" s="119">
        <f>'2b - Cost Support'!P36</f>
        <v>4.02E-2</v>
      </c>
      <c r="J187" s="120">
        <f>+H187*F187</f>
        <v>1.6080000000000001E-2</v>
      </c>
      <c r="K187" s="121" t="s">
        <v>168</v>
      </c>
      <c r="M187" s="8"/>
      <c r="N187" s="56"/>
    </row>
    <row r="188" spans="1:14">
      <c r="A188" s="18">
        <f>+A187+1</f>
        <v>81</v>
      </c>
      <c r="C188" s="1" t="s">
        <v>169</v>
      </c>
      <c r="D188" s="8"/>
      <c r="E188" s="33">
        <f>+'2b - Cost Support'!Q17</f>
        <v>0</v>
      </c>
      <c r="F188" s="122">
        <f>IF(E$190=0,0,E188/E$190)</f>
        <v>0</v>
      </c>
      <c r="G188" s="118"/>
      <c r="H188" s="111">
        <f>+'2b - Cost Support'!P41</f>
        <v>0</v>
      </c>
      <c r="J188" s="120">
        <f>+H188*F188</f>
        <v>0</v>
      </c>
      <c r="K188" s="8"/>
      <c r="M188" s="8"/>
    </row>
    <row r="189" spans="1:14" ht="16.5" thickBot="1">
      <c r="A189" s="18">
        <f>+A188+1</f>
        <v>82</v>
      </c>
      <c r="C189" s="1" t="s">
        <v>170</v>
      </c>
      <c r="D189" s="8"/>
      <c r="E189" s="123">
        <f>+'2b - Cost Support'!Q23</f>
        <v>64535837.257013321</v>
      </c>
      <c r="F189" s="117">
        <f>E189/$E$190</f>
        <v>0.6</v>
      </c>
      <c r="G189" s="118"/>
      <c r="H189" s="124">
        <v>0.10199999999999999</v>
      </c>
      <c r="J189" s="125">
        <f>H189*F189</f>
        <v>6.1199999999999991E-2</v>
      </c>
      <c r="K189" s="8"/>
      <c r="M189" s="8"/>
      <c r="N189" s="56"/>
    </row>
    <row r="190" spans="1:14">
      <c r="A190" s="18">
        <f>+A189+1</f>
        <v>83</v>
      </c>
      <c r="C190" s="5" t="str">
        <f>"Total  (sum lines "&amp;A187&amp;"-"&amp;A189&amp;")"</f>
        <v>Total  (sum lines 80-82)</v>
      </c>
      <c r="E190" s="111">
        <f>SUM(E187:E189)</f>
        <v>107559728.76168887</v>
      </c>
      <c r="F190" s="8" t="s">
        <v>3</v>
      </c>
      <c r="G190" s="8"/>
      <c r="H190" s="8"/>
      <c r="I190" s="8"/>
      <c r="J190" s="120">
        <f>SUM(J187:J189)</f>
        <v>7.7279999999999988E-2</v>
      </c>
      <c r="K190" s="121" t="s">
        <v>171</v>
      </c>
      <c r="M190" s="8"/>
    </row>
    <row r="191" spans="1:14">
      <c r="F191" s="8"/>
      <c r="G191" s="8"/>
      <c r="H191" s="8"/>
      <c r="I191" s="8"/>
      <c r="M191" s="8"/>
    </row>
    <row r="192" spans="1:14">
      <c r="F192" s="8"/>
      <c r="G192" s="8"/>
      <c r="H192" s="8"/>
      <c r="I192" s="8"/>
      <c r="M192" s="8"/>
    </row>
    <row r="193" spans="1:13">
      <c r="C193" s="23" t="s">
        <v>172</v>
      </c>
      <c r="F193" s="8"/>
      <c r="G193" s="8"/>
      <c r="H193" s="72" t="s">
        <v>173</v>
      </c>
      <c r="I193" s="72"/>
      <c r="J193" s="47"/>
      <c r="M193" s="8"/>
    </row>
    <row r="194" spans="1:13">
      <c r="A194" s="47"/>
      <c r="F194" s="8"/>
      <c r="G194" s="8"/>
      <c r="H194" s="29"/>
      <c r="J194" s="72"/>
      <c r="M194" s="8"/>
    </row>
    <row r="195" spans="1:13">
      <c r="A195" s="47">
        <f>+A190+1</f>
        <v>84</v>
      </c>
      <c r="C195" s="5" t="s">
        <v>174</v>
      </c>
      <c r="D195" s="5" t="str">
        <f>"(Line "&amp;A76&amp;", column 5)"</f>
        <v>(Line 13, column 5)</v>
      </c>
      <c r="F195" s="8"/>
      <c r="G195" s="8"/>
      <c r="H195" s="89">
        <f>+J76</f>
        <v>67267233.706619665</v>
      </c>
      <c r="I195" s="8"/>
      <c r="M195" s="8"/>
    </row>
    <row r="196" spans="1:13">
      <c r="A196" s="47">
        <f>+A195+1</f>
        <v>85</v>
      </c>
      <c r="C196" s="5" t="s">
        <v>32</v>
      </c>
      <c r="D196" s="5" t="str">
        <f>"(Line "&amp;A83&amp;", column 5)"</f>
        <v>(Line 19, column 5)</v>
      </c>
      <c r="F196" s="8"/>
      <c r="G196" s="8"/>
      <c r="H196" s="89">
        <f>+J83</f>
        <v>31580998.526173268</v>
      </c>
      <c r="J196" s="53"/>
      <c r="M196" s="8"/>
    </row>
    <row r="197" spans="1:13">
      <c r="A197" s="47">
        <f>+A196+1</f>
        <v>86</v>
      </c>
      <c r="C197" s="16" t="s">
        <v>175</v>
      </c>
      <c r="D197" s="5" t="str">
        <f>"(Line "&amp;A86&amp;", column 5)"</f>
        <v>(Line 22, column 5)</v>
      </c>
      <c r="F197" s="8"/>
      <c r="G197" s="8"/>
      <c r="H197" s="89">
        <f>+J86</f>
        <v>0</v>
      </c>
      <c r="I197" s="8"/>
      <c r="M197" s="8"/>
    </row>
    <row r="198" spans="1:13">
      <c r="A198" s="47">
        <f>+A197+1</f>
        <v>87</v>
      </c>
      <c r="C198" s="16" t="s">
        <v>176</v>
      </c>
      <c r="D198" s="5" t="str">
        <f>"(Line "&amp;A85&amp;", column 5)"</f>
        <v>(Line 21, column 5)</v>
      </c>
      <c r="F198" s="8"/>
      <c r="G198" s="8"/>
      <c r="H198" s="89">
        <f>+J85</f>
        <v>10079113.593548344</v>
      </c>
      <c r="I198" s="8"/>
      <c r="M198" s="8"/>
    </row>
    <row r="199" spans="1:13" ht="27.75" customHeight="1">
      <c r="A199" s="47">
        <f>+A198+1</f>
        <v>88</v>
      </c>
      <c r="C199" s="126" t="str">
        <f>+C193</f>
        <v>Sum Of Net Transmission Plant, CWIP in Rate Base, Regulatory Asset and Unamortized Abandoned Plant</v>
      </c>
      <c r="F199" s="8"/>
      <c r="G199" s="8"/>
      <c r="H199" s="53">
        <f>SUM(H195:H198)</f>
        <v>108927345.82634127</v>
      </c>
      <c r="I199" s="8"/>
      <c r="J199" s="53"/>
      <c r="K199" s="861"/>
      <c r="L199" s="861"/>
      <c r="M199" s="861"/>
    </row>
    <row r="200" spans="1:13">
      <c r="A200" s="47"/>
      <c r="F200" s="8"/>
      <c r="G200" s="8"/>
      <c r="H200" s="8"/>
      <c r="I200" s="8"/>
      <c r="M200" s="8"/>
    </row>
    <row r="201" spans="1:13">
      <c r="A201" s="47">
        <v>89</v>
      </c>
      <c r="C201" s="5" t="s">
        <v>177</v>
      </c>
      <c r="F201" s="8"/>
      <c r="G201" s="8"/>
      <c r="H201" s="8"/>
      <c r="I201" s="8"/>
      <c r="J201" s="8"/>
      <c r="M201" s="8"/>
    </row>
    <row r="202" spans="1:13">
      <c r="C202" s="47"/>
      <c r="D202" s="47"/>
      <c r="E202" s="47"/>
      <c r="F202" s="8"/>
      <c r="G202" s="8"/>
      <c r="H202" s="127"/>
      <c r="I202" s="8"/>
      <c r="J202" s="128"/>
      <c r="M202" s="129"/>
    </row>
    <row r="203" spans="1:13">
      <c r="E203" s="130"/>
      <c r="F203" s="8"/>
      <c r="G203" s="8"/>
      <c r="H203" s="8"/>
      <c r="I203" s="8"/>
      <c r="J203" s="130"/>
      <c r="M203" s="8"/>
    </row>
    <row r="204" spans="1:13">
      <c r="C204" s="1"/>
      <c r="D204" s="1"/>
      <c r="E204" s="2"/>
      <c r="F204" s="1"/>
      <c r="G204" s="1"/>
      <c r="H204" s="1"/>
      <c r="I204" s="1"/>
      <c r="J204" s="6"/>
      <c r="K204" s="6"/>
      <c r="L204" s="6"/>
      <c r="M204" s="3" t="s">
        <v>0</v>
      </c>
    </row>
    <row r="205" spans="1:13">
      <c r="C205" s="1"/>
      <c r="D205" s="1"/>
      <c r="E205" s="2"/>
      <c r="F205" s="1"/>
      <c r="G205" s="1"/>
      <c r="H205" s="1"/>
      <c r="I205" s="1"/>
      <c r="J205" s="1"/>
      <c r="L205" s="6"/>
      <c r="M205" s="6" t="s">
        <v>178</v>
      </c>
    </row>
    <row r="206" spans="1:13">
      <c r="C206" s="1"/>
      <c r="D206" s="15" t="s">
        <v>179</v>
      </c>
      <c r="F206" s="1"/>
      <c r="G206" s="1"/>
      <c r="H206" s="1"/>
      <c r="I206" s="1"/>
      <c r="J206" s="1"/>
      <c r="L206" s="6"/>
    </row>
    <row r="207" spans="1:13">
      <c r="C207" s="1" t="s">
        <v>37</v>
      </c>
      <c r="D207" s="7"/>
      <c r="E207" s="7" t="s">
        <v>2</v>
      </c>
      <c r="F207" s="1"/>
      <c r="G207" s="1"/>
      <c r="H207" s="1"/>
      <c r="I207" s="1"/>
    </row>
    <row r="208" spans="1:13">
      <c r="C208" s="1"/>
      <c r="D208" s="8" t="s">
        <v>3</v>
      </c>
      <c r="E208" s="8" t="s">
        <v>4</v>
      </c>
      <c r="F208" s="8"/>
      <c r="G208" s="8"/>
      <c r="H208" s="8"/>
      <c r="I208" s="1"/>
      <c r="J208" s="1"/>
    </row>
    <row r="209" spans="1:13">
      <c r="A209" s="18"/>
      <c r="K209" s="13"/>
      <c r="L209" s="13"/>
      <c r="M209" s="14" t="str">
        <f>+M165</f>
        <v>For the 12 months ended 12/31/2025</v>
      </c>
    </row>
    <row r="210" spans="1:13">
      <c r="A210" s="18"/>
      <c r="E210" s="131"/>
      <c r="G210" s="103"/>
      <c r="K210" s="8"/>
      <c r="M210" s="46"/>
    </row>
    <row r="211" spans="1:13">
      <c r="A211" s="18"/>
      <c r="D211" s="854" t="s">
        <v>180</v>
      </c>
      <c r="E211" s="862"/>
      <c r="F211" s="862"/>
      <c r="G211" s="862"/>
      <c r="K211" s="8"/>
      <c r="M211" s="46"/>
    </row>
    <row r="212" spans="1:13">
      <c r="A212" s="18"/>
      <c r="D212" s="18"/>
      <c r="K212" s="8"/>
      <c r="L212" s="8"/>
    </row>
    <row r="213" spans="1:13">
      <c r="A213" s="18"/>
      <c r="B213" s="1"/>
      <c r="C213" s="132"/>
      <c r="D213" s="18"/>
      <c r="E213" s="8"/>
      <c r="F213" s="8"/>
      <c r="G213" s="8"/>
      <c r="H213" s="8"/>
      <c r="I213" s="1"/>
      <c r="J213" s="7"/>
      <c r="K213" s="133"/>
      <c r="L213" s="134"/>
      <c r="M213" s="18"/>
    </row>
    <row r="214" spans="1:13">
      <c r="A214" s="18"/>
      <c r="B214" s="1"/>
      <c r="C214" s="132"/>
      <c r="F214" s="8"/>
      <c r="G214" s="8"/>
      <c r="H214" s="8"/>
      <c r="I214" s="1"/>
      <c r="J214" s="135"/>
      <c r="K214" s="133"/>
      <c r="L214" s="134"/>
      <c r="M214" s="18"/>
    </row>
    <row r="215" spans="1:13">
      <c r="A215" s="18"/>
      <c r="B215" s="1"/>
      <c r="C215" s="132"/>
      <c r="D215" s="18"/>
      <c r="E215" s="8"/>
      <c r="F215" s="8"/>
      <c r="G215" s="8"/>
      <c r="H215" s="8"/>
      <c r="I215" s="1"/>
      <c r="J215" s="135"/>
      <c r="K215" s="133"/>
      <c r="L215" s="134"/>
      <c r="M215" s="18"/>
    </row>
    <row r="216" spans="1:13">
      <c r="A216" s="18"/>
      <c r="B216" s="1"/>
      <c r="C216" s="1" t="s">
        <v>181</v>
      </c>
      <c r="D216" s="18"/>
      <c r="E216" s="8"/>
      <c r="F216" s="8"/>
      <c r="G216" s="8"/>
      <c r="H216" s="8"/>
      <c r="I216" s="1"/>
      <c r="J216" s="8"/>
      <c r="K216" s="1"/>
      <c r="L216" s="8"/>
      <c r="M216" s="18"/>
    </row>
    <row r="217" spans="1:13">
      <c r="A217" s="18"/>
      <c r="B217" s="1"/>
      <c r="C217" s="1" t="s">
        <v>182</v>
      </c>
      <c r="D217" s="18"/>
      <c r="E217" s="8"/>
      <c r="F217" s="8"/>
      <c r="G217" s="8"/>
      <c r="H217" s="8"/>
      <c r="I217" s="1"/>
      <c r="J217" s="8"/>
      <c r="K217" s="1"/>
      <c r="L217" s="8"/>
      <c r="M217" s="18"/>
    </row>
    <row r="218" spans="1:13">
      <c r="A218" s="18" t="s">
        <v>183</v>
      </c>
      <c r="B218" s="1"/>
      <c r="C218" s="1"/>
      <c r="D218" s="1"/>
      <c r="E218" s="8"/>
      <c r="F218" s="8"/>
      <c r="G218" s="8"/>
      <c r="H218" s="8"/>
      <c r="I218" s="1"/>
      <c r="J218" s="8"/>
      <c r="K218" s="1"/>
      <c r="L218" s="8"/>
      <c r="M218" s="18"/>
    </row>
    <row r="219" spans="1:13" ht="16.5" thickBot="1">
      <c r="A219" s="28" t="s">
        <v>184</v>
      </c>
      <c r="B219" s="1"/>
      <c r="C219" s="1"/>
      <c r="D219" s="1"/>
      <c r="E219" s="8"/>
      <c r="F219" s="8"/>
      <c r="G219" s="8"/>
      <c r="H219" s="8"/>
      <c r="I219" s="1"/>
      <c r="J219" s="8"/>
      <c r="K219" s="1"/>
      <c r="L219" s="8"/>
      <c r="M219" s="18"/>
    </row>
    <row r="220" spans="1:13">
      <c r="A220" s="18" t="s">
        <v>185</v>
      </c>
      <c r="B220" s="1"/>
      <c r="C220" s="863" t="s">
        <v>186</v>
      </c>
      <c r="D220" s="863"/>
      <c r="E220" s="863"/>
      <c r="F220" s="863"/>
      <c r="G220" s="863"/>
      <c r="H220" s="863"/>
      <c r="I220" s="863"/>
      <c r="J220" s="863"/>
      <c r="K220" s="863"/>
      <c r="L220" s="863"/>
      <c r="M220" s="18"/>
    </row>
    <row r="221" spans="1:13">
      <c r="A221" s="18"/>
      <c r="B221" s="1"/>
      <c r="C221" s="1"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1"/>
      <c r="E221" s="1"/>
      <c r="F221" s="1"/>
      <c r="G221" s="1"/>
      <c r="H221" s="1"/>
      <c r="I221" s="1"/>
      <c r="J221" s="1"/>
      <c r="K221" s="1"/>
      <c r="L221" s="1"/>
      <c r="M221" s="18"/>
    </row>
    <row r="222" spans="1:13">
      <c r="A222" s="18" t="s">
        <v>187</v>
      </c>
      <c r="B222" s="1"/>
      <c r="C222" s="1" t="s">
        <v>188</v>
      </c>
      <c r="D222" s="1"/>
      <c r="E222" s="1"/>
      <c r="F222" s="1"/>
      <c r="G222" s="1"/>
      <c r="H222" s="1"/>
      <c r="I222" s="1"/>
      <c r="J222" s="1"/>
      <c r="K222" s="1"/>
      <c r="L222" s="1"/>
      <c r="M222" s="18"/>
    </row>
    <row r="223" spans="1:13" ht="32.25" customHeight="1">
      <c r="A223" s="18" t="s">
        <v>189</v>
      </c>
      <c r="B223" s="1"/>
      <c r="C223" s="864" t="s">
        <v>190</v>
      </c>
      <c r="D223" s="864"/>
      <c r="E223" s="864"/>
      <c r="F223" s="864"/>
      <c r="G223" s="864"/>
      <c r="H223" s="864"/>
      <c r="I223" s="864"/>
      <c r="J223" s="864"/>
      <c r="K223" s="864"/>
      <c r="L223" s="864"/>
      <c r="M223" s="18"/>
    </row>
    <row r="224" spans="1:13">
      <c r="A224" s="18"/>
      <c r="B224" s="1"/>
      <c r="C224" s="1" t="s">
        <v>191</v>
      </c>
      <c r="D224" s="1"/>
      <c r="E224" s="1"/>
      <c r="F224" s="1"/>
      <c r="G224" s="1"/>
      <c r="H224" s="1"/>
      <c r="I224" s="1"/>
      <c r="J224" s="1"/>
      <c r="K224" s="1"/>
      <c r="L224" s="1"/>
      <c r="M224" s="18"/>
    </row>
    <row r="225" spans="1:256" ht="19.5" customHeight="1">
      <c r="A225" s="18" t="s">
        <v>192</v>
      </c>
      <c r="B225" s="1"/>
      <c r="C225" s="853" t="s">
        <v>193</v>
      </c>
      <c r="D225" s="853"/>
      <c r="E225" s="853"/>
      <c r="F225" s="853"/>
      <c r="G225" s="853"/>
      <c r="H225" s="853"/>
      <c r="I225" s="853"/>
      <c r="J225" s="853"/>
      <c r="K225" s="853"/>
      <c r="L225" s="853"/>
      <c r="M225" s="18"/>
      <c r="N225" s="136"/>
    </row>
    <row r="226" spans="1:256" ht="18">
      <c r="A226" s="18"/>
      <c r="B226" s="1"/>
      <c r="C226" s="23" t="s">
        <v>194</v>
      </c>
      <c r="D226" s="1"/>
      <c r="E226" s="1"/>
      <c r="F226" s="1"/>
      <c r="G226" s="1"/>
      <c r="H226" s="1"/>
      <c r="I226" s="1"/>
      <c r="J226" s="1"/>
      <c r="K226" s="1"/>
      <c r="L226" s="1"/>
      <c r="M226" s="18"/>
      <c r="N226" s="136"/>
    </row>
    <row r="227" spans="1:256" ht="33.75" customHeight="1">
      <c r="A227" s="18" t="s">
        <v>195</v>
      </c>
      <c r="B227" s="1"/>
      <c r="C227" s="864" t="s">
        <v>196</v>
      </c>
      <c r="D227" s="864"/>
      <c r="E227" s="864"/>
      <c r="F227" s="864"/>
      <c r="G227" s="864"/>
      <c r="H227" s="864"/>
      <c r="I227" s="864"/>
      <c r="J227" s="864"/>
      <c r="K227" s="864"/>
      <c r="L227" s="864"/>
      <c r="M227" s="18"/>
    </row>
    <row r="228" spans="1:256" ht="50.25" customHeight="1">
      <c r="A228" s="18" t="s">
        <v>197</v>
      </c>
      <c r="B228" s="1"/>
      <c r="C228" s="864" t="s">
        <v>198</v>
      </c>
      <c r="D228" s="864"/>
      <c r="E228" s="864"/>
      <c r="F228" s="864"/>
      <c r="G228" s="864"/>
      <c r="H228" s="864"/>
      <c r="I228" s="864"/>
      <c r="J228" s="864"/>
      <c r="K228" s="864"/>
      <c r="L228" s="864"/>
      <c r="M228" s="18"/>
    </row>
    <row r="229" spans="1:256">
      <c r="A229" s="18" t="s">
        <v>3</v>
      </c>
      <c r="B229" s="1"/>
      <c r="C229" s="1" t="s">
        <v>199</v>
      </c>
      <c r="D229" s="1" t="s">
        <v>200</v>
      </c>
      <c r="E229" s="137">
        <v>0.21</v>
      </c>
      <c r="F229" s="1"/>
      <c r="G229" s="1"/>
      <c r="H229" s="1"/>
      <c r="I229" s="1"/>
      <c r="J229" s="1"/>
      <c r="K229" s="1"/>
      <c r="L229" s="1"/>
      <c r="M229" s="18"/>
    </row>
    <row r="230" spans="1:256">
      <c r="A230" s="18"/>
      <c r="B230" s="1"/>
      <c r="C230" s="1"/>
      <c r="D230" s="1" t="s">
        <v>201</v>
      </c>
      <c r="E230" s="138">
        <f>+'2a - Cost Support'!L100</f>
        <v>8.8400000000000006E-2</v>
      </c>
      <c r="F230" s="1" t="s">
        <v>202</v>
      </c>
      <c r="G230" s="1"/>
      <c r="H230" s="1"/>
      <c r="I230" s="1"/>
      <c r="J230" s="1"/>
      <c r="K230" s="1"/>
      <c r="L230" s="1"/>
      <c r="M230" s="18"/>
      <c r="N230" s="139"/>
    </row>
    <row r="231" spans="1:256">
      <c r="A231" s="18"/>
      <c r="B231" s="1"/>
      <c r="C231" s="1"/>
      <c r="D231" s="1" t="s">
        <v>203</v>
      </c>
      <c r="E231" s="137">
        <v>0</v>
      </c>
      <c r="F231" s="1" t="s">
        <v>204</v>
      </c>
      <c r="G231" s="1"/>
      <c r="H231" s="1"/>
      <c r="I231" s="1"/>
      <c r="J231" s="1"/>
      <c r="K231" s="1"/>
      <c r="L231" s="1"/>
      <c r="M231" s="18"/>
    </row>
    <row r="232" spans="1:256" ht="33.75" customHeight="1">
      <c r="A232" s="18"/>
      <c r="B232" s="1"/>
      <c r="C232" s="866" t="s">
        <v>205</v>
      </c>
      <c r="D232" s="866"/>
      <c r="E232" s="866"/>
      <c r="F232" s="866"/>
      <c r="G232" s="866"/>
      <c r="H232" s="866"/>
      <c r="I232" s="866"/>
      <c r="J232" s="866"/>
      <c r="K232" s="866"/>
      <c r="L232" s="866"/>
      <c r="M232" s="18"/>
    </row>
    <row r="233" spans="1:256" ht="19.5" customHeight="1">
      <c r="A233" s="140" t="s">
        <v>206</v>
      </c>
      <c r="B233" s="1"/>
      <c r="C233" s="865" t="s">
        <v>207</v>
      </c>
      <c r="D233" s="865"/>
      <c r="E233" s="865"/>
      <c r="F233" s="865"/>
      <c r="G233" s="865"/>
      <c r="H233" s="865"/>
      <c r="I233" s="865"/>
      <c r="J233" s="865"/>
      <c r="K233" s="865"/>
      <c r="L233" s="865"/>
      <c r="M233" s="18"/>
    </row>
    <row r="234" spans="1:256" ht="29.25" customHeight="1">
      <c r="A234" s="18" t="s">
        <v>208</v>
      </c>
      <c r="B234" s="1"/>
      <c r="C234" s="864" t="s">
        <v>209</v>
      </c>
      <c r="D234" s="864"/>
      <c r="E234" s="864"/>
      <c r="F234" s="864"/>
      <c r="G234" s="864"/>
      <c r="H234" s="864"/>
      <c r="I234" s="864"/>
      <c r="J234" s="864"/>
      <c r="K234" s="864"/>
      <c r="L234" s="864"/>
      <c r="M234" s="18"/>
    </row>
    <row r="235" spans="1:256">
      <c r="A235" s="18" t="s">
        <v>210</v>
      </c>
      <c r="B235" s="1"/>
      <c r="C235" s="1" t="s">
        <v>211</v>
      </c>
      <c r="D235" s="1"/>
      <c r="E235" s="1"/>
      <c r="F235" s="1"/>
      <c r="G235" s="1"/>
      <c r="H235" s="1"/>
      <c r="I235" s="1"/>
      <c r="J235" s="1"/>
      <c r="K235" s="1"/>
      <c r="L235" s="1"/>
      <c r="M235" s="18"/>
    </row>
    <row r="236" spans="1:256">
      <c r="A236" s="18" t="s">
        <v>212</v>
      </c>
      <c r="B236" s="1"/>
      <c r="C236" s="141" t="s">
        <v>213</v>
      </c>
      <c r="D236" s="1"/>
      <c r="E236" s="1"/>
      <c r="F236" s="1"/>
      <c r="G236" s="1"/>
      <c r="H236" s="1"/>
      <c r="I236" s="1"/>
      <c r="J236" s="1"/>
      <c r="K236" s="1"/>
      <c r="L236" s="1"/>
      <c r="M236" s="18"/>
    </row>
    <row r="237" spans="1:256">
      <c r="A237" s="18"/>
      <c r="B237" s="1"/>
      <c r="C237" s="141" t="s">
        <v>214</v>
      </c>
      <c r="D237" s="1"/>
      <c r="E237" s="1"/>
      <c r="F237" s="1"/>
      <c r="G237" s="1"/>
      <c r="H237" s="1"/>
      <c r="I237" s="1"/>
      <c r="J237" s="1"/>
      <c r="K237" s="1"/>
      <c r="L237" s="1"/>
      <c r="M237" s="18"/>
    </row>
    <row r="238" spans="1:256" ht="13.5" customHeight="1">
      <c r="A238" s="142"/>
      <c r="B238" s="142"/>
      <c r="C238" s="141" t="s">
        <v>215</v>
      </c>
      <c r="D238" s="141"/>
      <c r="E238" s="143"/>
      <c r="F238" s="143"/>
      <c r="G238" s="143"/>
      <c r="H238" s="143"/>
      <c r="I238" s="143"/>
      <c r="J238" s="143"/>
      <c r="K238" s="143"/>
      <c r="L238" s="143"/>
      <c r="M238" s="142"/>
      <c r="N238" s="144"/>
      <c r="O238" s="144"/>
      <c r="P238" s="144"/>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c r="AY238" s="144"/>
      <c r="AZ238" s="144"/>
      <c r="BA238" s="144"/>
      <c r="BB238" s="144"/>
      <c r="BC238" s="144"/>
      <c r="BD238" s="144"/>
      <c r="BE238" s="144"/>
      <c r="BF238" s="144"/>
      <c r="BG238" s="144"/>
      <c r="BH238" s="144"/>
      <c r="BI238" s="144"/>
      <c r="BJ238" s="144"/>
      <c r="BK238" s="144"/>
      <c r="BL238" s="144"/>
      <c r="BM238" s="144"/>
      <c r="BN238" s="144"/>
      <c r="BO238" s="144"/>
      <c r="BP238" s="144"/>
      <c r="BQ238" s="144"/>
      <c r="BR238" s="144"/>
      <c r="BS238" s="144"/>
      <c r="BT238" s="144"/>
      <c r="BU238" s="144"/>
      <c r="BV238" s="144"/>
      <c r="BW238" s="144"/>
      <c r="BX238" s="144"/>
      <c r="BY238" s="144"/>
      <c r="BZ238" s="144"/>
      <c r="CA238" s="144"/>
      <c r="CB238" s="144"/>
      <c r="CC238" s="144"/>
      <c r="CD238" s="144"/>
      <c r="CE238" s="144"/>
      <c r="CF238" s="144"/>
      <c r="CG238" s="144"/>
      <c r="CH238" s="144"/>
      <c r="CI238" s="144"/>
      <c r="CJ238" s="144"/>
      <c r="CK238" s="144"/>
      <c r="CL238" s="144"/>
      <c r="CM238" s="144"/>
      <c r="CN238" s="144"/>
      <c r="CO238" s="144"/>
      <c r="CP238" s="144"/>
      <c r="CQ238" s="144"/>
      <c r="CR238" s="144"/>
      <c r="CS238" s="144"/>
      <c r="CT238" s="144"/>
      <c r="CU238" s="144"/>
      <c r="CV238" s="144"/>
      <c r="CW238" s="144"/>
      <c r="CX238" s="144"/>
      <c r="CY238" s="144"/>
      <c r="CZ238" s="144"/>
      <c r="DA238" s="144"/>
      <c r="DB238" s="144"/>
      <c r="DC238" s="144"/>
      <c r="DD238" s="144"/>
      <c r="DE238" s="144"/>
      <c r="DF238" s="144"/>
      <c r="DG238" s="144"/>
      <c r="DH238" s="144"/>
      <c r="DI238" s="144"/>
      <c r="DJ238" s="144"/>
      <c r="DK238" s="144"/>
      <c r="DL238" s="144"/>
      <c r="DM238" s="144"/>
      <c r="DN238" s="144"/>
      <c r="DO238" s="144"/>
      <c r="DP238" s="144"/>
      <c r="DQ238" s="144"/>
      <c r="DR238" s="144"/>
      <c r="DS238" s="144"/>
      <c r="DT238" s="144"/>
      <c r="DU238" s="144"/>
      <c r="DV238" s="144"/>
      <c r="DW238" s="144"/>
      <c r="DX238" s="144"/>
      <c r="DY238" s="144"/>
      <c r="DZ238" s="144"/>
      <c r="EA238" s="144"/>
      <c r="EB238" s="144"/>
      <c r="EC238" s="144"/>
      <c r="ED238" s="144"/>
      <c r="EE238" s="144"/>
      <c r="EF238" s="144"/>
      <c r="EG238" s="144"/>
      <c r="EH238" s="144"/>
      <c r="EI238" s="144"/>
      <c r="EJ238" s="144"/>
      <c r="EK238" s="144"/>
      <c r="EL238" s="144"/>
      <c r="EM238" s="144"/>
      <c r="EN238" s="144"/>
      <c r="EO238" s="144"/>
      <c r="EP238" s="144"/>
      <c r="EQ238" s="144"/>
      <c r="ER238" s="144"/>
      <c r="ES238" s="144"/>
      <c r="ET238" s="144"/>
      <c r="EU238" s="144"/>
      <c r="EV238" s="144"/>
      <c r="EW238" s="144"/>
      <c r="EX238" s="144"/>
      <c r="EY238" s="144"/>
      <c r="EZ238" s="144"/>
      <c r="FA238" s="144"/>
      <c r="FB238" s="144"/>
      <c r="FC238" s="144"/>
      <c r="FD238" s="144"/>
      <c r="FE238" s="144"/>
      <c r="FF238" s="144"/>
      <c r="FG238" s="144"/>
      <c r="FH238" s="144"/>
      <c r="FI238" s="144"/>
      <c r="FJ238" s="144"/>
      <c r="FK238" s="144"/>
      <c r="FL238" s="144"/>
      <c r="FM238" s="144"/>
      <c r="FN238" s="144"/>
      <c r="FO238" s="144"/>
      <c r="FP238" s="144"/>
      <c r="FQ238" s="144"/>
      <c r="FR238" s="144"/>
      <c r="FS238" s="144"/>
      <c r="FT238" s="144"/>
      <c r="FU238" s="144"/>
      <c r="FV238" s="144"/>
      <c r="FW238" s="144"/>
      <c r="FX238" s="144"/>
      <c r="FY238" s="144"/>
      <c r="FZ238" s="144"/>
      <c r="GA238" s="144"/>
      <c r="GB238" s="144"/>
      <c r="GC238" s="144"/>
      <c r="GD238" s="144"/>
      <c r="GE238" s="144"/>
      <c r="GF238" s="144"/>
      <c r="GG238" s="144"/>
      <c r="GH238" s="144"/>
      <c r="GI238" s="144"/>
      <c r="GJ238" s="144"/>
      <c r="GK238" s="144"/>
      <c r="GL238" s="144"/>
      <c r="GM238" s="144"/>
      <c r="GN238" s="144"/>
      <c r="GO238" s="144"/>
      <c r="GP238" s="144"/>
      <c r="GQ238" s="144"/>
      <c r="GR238" s="144"/>
      <c r="GS238" s="144"/>
      <c r="GT238" s="144"/>
      <c r="GU238" s="144"/>
      <c r="GV238" s="144"/>
      <c r="GW238" s="144"/>
      <c r="GX238" s="144"/>
      <c r="GY238" s="144"/>
      <c r="GZ238" s="144"/>
      <c r="HA238" s="144"/>
      <c r="HB238" s="144"/>
      <c r="HC238" s="144"/>
      <c r="HD238" s="144"/>
      <c r="HE238" s="144"/>
      <c r="HF238" s="144"/>
      <c r="HG238" s="144"/>
      <c r="HH238" s="144"/>
      <c r="HI238" s="144"/>
      <c r="HJ238" s="144"/>
      <c r="HK238" s="144"/>
      <c r="HL238" s="144"/>
      <c r="HM238" s="144"/>
      <c r="HN238" s="144"/>
      <c r="HO238" s="144"/>
      <c r="HP238" s="144"/>
      <c r="HQ238" s="144"/>
      <c r="HR238" s="144"/>
      <c r="HS238" s="144"/>
      <c r="HT238" s="144"/>
      <c r="HU238" s="144"/>
      <c r="HV238" s="144"/>
      <c r="HW238" s="144"/>
      <c r="HX238" s="144"/>
      <c r="HY238" s="144"/>
      <c r="HZ238" s="144"/>
      <c r="IA238" s="144"/>
      <c r="IB238" s="144"/>
      <c r="IC238" s="144"/>
      <c r="ID238" s="144"/>
      <c r="IE238" s="144"/>
      <c r="IF238" s="144"/>
      <c r="IG238" s="144"/>
      <c r="IH238" s="144"/>
      <c r="II238" s="144"/>
      <c r="IJ238" s="144"/>
      <c r="IK238" s="144"/>
      <c r="IL238" s="144"/>
      <c r="IM238" s="144"/>
      <c r="IN238" s="144"/>
      <c r="IO238" s="144"/>
      <c r="IP238" s="144"/>
      <c r="IQ238" s="144"/>
      <c r="IR238" s="144"/>
      <c r="IS238" s="144"/>
      <c r="IT238" s="144"/>
      <c r="IU238" s="144"/>
      <c r="IV238" s="144"/>
    </row>
    <row r="239" spans="1:256" ht="33" customHeight="1">
      <c r="A239" s="140" t="s">
        <v>216</v>
      </c>
      <c r="B239" s="142"/>
      <c r="C239" s="861" t="s">
        <v>217</v>
      </c>
      <c r="D239" s="861"/>
      <c r="E239" s="861"/>
      <c r="F239" s="861"/>
      <c r="G239" s="861"/>
      <c r="H239" s="861"/>
      <c r="I239" s="861"/>
      <c r="J239" s="861"/>
      <c r="K239" s="861"/>
      <c r="L239" s="861"/>
      <c r="M239" s="142"/>
      <c r="N239" s="145"/>
      <c r="O239" s="145"/>
      <c r="P239" s="145"/>
      <c r="Q239" s="145"/>
      <c r="R239" s="145"/>
      <c r="S239" s="145"/>
      <c r="T239" s="145"/>
      <c r="U239" s="145"/>
      <c r="V239" s="145"/>
      <c r="W239" s="145"/>
      <c r="X239" s="145"/>
      <c r="Y239" s="145"/>
      <c r="Z239" s="145"/>
      <c r="AA239" s="145"/>
      <c r="AB239" s="145"/>
      <c r="AC239" s="145"/>
      <c r="AD239" s="145"/>
      <c r="AE239" s="145"/>
      <c r="AF239" s="145"/>
      <c r="AG239" s="145"/>
      <c r="AH239" s="145"/>
      <c r="AI239" s="145"/>
      <c r="AJ239" s="145"/>
      <c r="AK239" s="145"/>
      <c r="AL239" s="145"/>
      <c r="AM239" s="145"/>
      <c r="AN239" s="145"/>
      <c r="AO239" s="145"/>
      <c r="AP239" s="145"/>
      <c r="AQ239" s="145"/>
      <c r="AR239" s="145"/>
      <c r="AS239" s="145"/>
      <c r="AT239" s="145"/>
      <c r="AU239" s="145"/>
      <c r="AV239" s="145"/>
      <c r="AW239" s="145"/>
      <c r="AX239" s="145"/>
      <c r="AY239" s="145"/>
      <c r="AZ239" s="145"/>
      <c r="BA239" s="145"/>
      <c r="BB239" s="145"/>
      <c r="BC239" s="145"/>
      <c r="BD239" s="145"/>
      <c r="BE239" s="145"/>
      <c r="BF239" s="145"/>
      <c r="BG239" s="145"/>
      <c r="BH239" s="145"/>
      <c r="BI239" s="145"/>
      <c r="BJ239" s="145"/>
      <c r="BK239" s="145"/>
      <c r="BL239" s="145"/>
      <c r="BM239" s="145"/>
      <c r="BN239" s="145"/>
      <c r="BO239" s="145"/>
      <c r="BP239" s="145"/>
      <c r="BQ239" s="145"/>
      <c r="BR239" s="145"/>
      <c r="BS239" s="145"/>
      <c r="BT239" s="145"/>
      <c r="BU239" s="145"/>
      <c r="BV239" s="145"/>
      <c r="BW239" s="145"/>
      <c r="BX239" s="145"/>
      <c r="BY239" s="145"/>
      <c r="BZ239" s="145"/>
      <c r="CA239" s="145"/>
      <c r="CB239" s="145"/>
      <c r="CC239" s="145"/>
      <c r="CD239" s="145"/>
      <c r="CE239" s="145"/>
      <c r="CF239" s="145"/>
      <c r="CG239" s="145"/>
      <c r="CH239" s="145"/>
      <c r="CI239" s="145"/>
      <c r="CJ239" s="145"/>
      <c r="CK239" s="145"/>
      <c r="CL239" s="145"/>
      <c r="CM239" s="145"/>
      <c r="CN239" s="145"/>
      <c r="CO239" s="145"/>
      <c r="CP239" s="145"/>
      <c r="CQ239" s="145"/>
      <c r="CR239" s="145"/>
      <c r="CS239" s="145"/>
      <c r="CT239" s="145"/>
      <c r="CU239" s="145"/>
      <c r="CV239" s="145"/>
      <c r="CW239" s="145"/>
      <c r="CX239" s="145"/>
      <c r="CY239" s="145"/>
      <c r="CZ239" s="145"/>
      <c r="DA239" s="145"/>
      <c r="DB239" s="145"/>
      <c r="DC239" s="145"/>
      <c r="DD239" s="145"/>
      <c r="DE239" s="145"/>
      <c r="DF239" s="145"/>
      <c r="DG239" s="145"/>
      <c r="DH239" s="145"/>
      <c r="DI239" s="145"/>
      <c r="DJ239" s="145"/>
      <c r="DK239" s="145"/>
      <c r="DL239" s="145"/>
      <c r="DM239" s="145"/>
      <c r="DN239" s="145"/>
      <c r="DO239" s="145"/>
      <c r="DP239" s="145"/>
      <c r="DQ239" s="145"/>
      <c r="DR239" s="145"/>
      <c r="DS239" s="145"/>
      <c r="DT239" s="145"/>
      <c r="DU239" s="145"/>
      <c r="DV239" s="145"/>
      <c r="DW239" s="145"/>
      <c r="DX239" s="145"/>
      <c r="DY239" s="145"/>
      <c r="DZ239" s="145"/>
      <c r="EA239" s="145"/>
      <c r="EB239" s="145"/>
      <c r="EC239" s="145"/>
      <c r="ED239" s="145"/>
      <c r="EE239" s="145"/>
      <c r="EF239" s="145"/>
      <c r="EG239" s="145"/>
      <c r="EH239" s="145"/>
      <c r="EI239" s="145"/>
      <c r="EJ239" s="145"/>
      <c r="EK239" s="145"/>
      <c r="EL239" s="145"/>
      <c r="EM239" s="145"/>
      <c r="EN239" s="145"/>
      <c r="EO239" s="145"/>
      <c r="EP239" s="145"/>
      <c r="EQ239" s="145"/>
      <c r="ER239" s="145"/>
      <c r="ES239" s="145"/>
      <c r="ET239" s="145"/>
      <c r="EU239" s="145"/>
      <c r="EV239" s="145"/>
      <c r="EW239" s="145"/>
      <c r="EX239" s="145"/>
      <c r="EY239" s="145"/>
      <c r="EZ239" s="145"/>
      <c r="FA239" s="145"/>
      <c r="FB239" s="145"/>
      <c r="FC239" s="145"/>
      <c r="FD239" s="145"/>
      <c r="FE239" s="145"/>
      <c r="FF239" s="145"/>
      <c r="FG239" s="145"/>
      <c r="FH239" s="145"/>
      <c r="FI239" s="145"/>
      <c r="FJ239" s="145"/>
      <c r="FK239" s="145"/>
      <c r="FL239" s="145"/>
      <c r="FM239" s="145"/>
      <c r="FN239" s="145"/>
      <c r="FO239" s="145"/>
      <c r="FP239" s="145"/>
      <c r="FQ239" s="145"/>
      <c r="FR239" s="145"/>
      <c r="FS239" s="145"/>
      <c r="FT239" s="145"/>
      <c r="FU239" s="145"/>
      <c r="FV239" s="145"/>
      <c r="FW239" s="145"/>
      <c r="FX239" s="145"/>
      <c r="FY239" s="145"/>
      <c r="FZ239" s="145"/>
      <c r="GA239" s="145"/>
      <c r="GB239" s="145"/>
      <c r="GC239" s="145"/>
      <c r="GD239" s="145"/>
      <c r="GE239" s="145"/>
      <c r="GF239" s="145"/>
      <c r="GG239" s="145"/>
      <c r="GH239" s="145"/>
      <c r="GI239" s="145"/>
      <c r="GJ239" s="145"/>
      <c r="GK239" s="145"/>
      <c r="GL239" s="145"/>
      <c r="GM239" s="145"/>
      <c r="GN239" s="145"/>
      <c r="GO239" s="145"/>
      <c r="GP239" s="145"/>
      <c r="GQ239" s="145"/>
      <c r="GR239" s="145"/>
      <c r="GS239" s="145"/>
      <c r="GT239" s="145"/>
      <c r="GU239" s="145"/>
      <c r="GV239" s="145"/>
      <c r="GW239" s="145"/>
      <c r="GX239" s="145"/>
      <c r="GY239" s="145"/>
      <c r="GZ239" s="145"/>
      <c r="HA239" s="145"/>
      <c r="HB239" s="145"/>
      <c r="HC239" s="145"/>
      <c r="HD239" s="145"/>
      <c r="HE239" s="145"/>
      <c r="HF239" s="145"/>
      <c r="HG239" s="145"/>
      <c r="HH239" s="145"/>
      <c r="HI239" s="145"/>
      <c r="HJ239" s="145"/>
      <c r="HK239" s="145"/>
      <c r="HL239" s="145"/>
      <c r="HM239" s="145"/>
      <c r="HN239" s="145"/>
      <c r="HO239" s="145"/>
      <c r="HP239" s="145"/>
      <c r="HQ239" s="145"/>
      <c r="HR239" s="145"/>
      <c r="HS239" s="145"/>
      <c r="HT239" s="145"/>
      <c r="HU239" s="145"/>
      <c r="HV239" s="145"/>
      <c r="HW239" s="145"/>
      <c r="HX239" s="145"/>
      <c r="HY239" s="145"/>
      <c r="HZ239" s="145"/>
      <c r="IA239" s="145"/>
      <c r="IB239" s="145"/>
      <c r="IC239" s="145"/>
      <c r="ID239" s="145"/>
      <c r="IE239" s="145"/>
      <c r="IF239" s="145"/>
      <c r="IG239" s="145"/>
      <c r="IH239" s="145"/>
      <c r="II239" s="145"/>
      <c r="IJ239" s="145"/>
      <c r="IK239" s="145"/>
      <c r="IL239" s="145"/>
      <c r="IM239" s="145"/>
      <c r="IN239" s="145"/>
      <c r="IO239" s="145"/>
      <c r="IP239" s="145"/>
      <c r="IQ239" s="145"/>
      <c r="IR239" s="145"/>
      <c r="IS239" s="145"/>
      <c r="IT239" s="145"/>
      <c r="IU239" s="145"/>
      <c r="IV239" s="145"/>
    </row>
    <row r="240" spans="1:256">
      <c r="A240" s="146" t="s">
        <v>218</v>
      </c>
      <c r="B240" s="142"/>
      <c r="C240" s="5" t="s">
        <v>219</v>
      </c>
      <c r="D240" s="142"/>
      <c r="E240" s="142"/>
      <c r="F240" s="142"/>
      <c r="G240" s="142"/>
      <c r="H240" s="142"/>
      <c r="I240" s="142"/>
      <c r="J240" s="142"/>
      <c r="K240" s="142"/>
      <c r="L240" s="142"/>
      <c r="M240" s="142"/>
      <c r="N240" s="145"/>
      <c r="O240" s="145"/>
      <c r="P240" s="145"/>
      <c r="Q240" s="145"/>
      <c r="R240" s="145"/>
      <c r="S240" s="145"/>
      <c r="T240" s="145"/>
      <c r="U240" s="145"/>
      <c r="V240" s="145"/>
      <c r="W240" s="145"/>
      <c r="X240" s="145"/>
      <c r="Y240" s="145"/>
      <c r="Z240" s="145"/>
      <c r="AA240" s="145"/>
      <c r="AB240" s="145"/>
      <c r="AC240" s="145"/>
      <c r="AD240" s="145"/>
      <c r="AE240" s="145"/>
      <c r="AF240" s="145"/>
      <c r="AG240" s="145"/>
      <c r="AH240" s="145"/>
      <c r="AI240" s="145"/>
      <c r="AJ240" s="145"/>
      <c r="AK240" s="145"/>
      <c r="AL240" s="145"/>
      <c r="AM240" s="145"/>
      <c r="AN240" s="145"/>
      <c r="AO240" s="145"/>
      <c r="AP240" s="145"/>
      <c r="AQ240" s="145"/>
      <c r="AR240" s="145"/>
      <c r="AS240" s="145"/>
      <c r="AT240" s="145"/>
      <c r="AU240" s="145"/>
      <c r="AV240" s="145"/>
      <c r="AW240" s="145"/>
      <c r="AX240" s="145"/>
      <c r="AY240" s="145"/>
      <c r="AZ240" s="145"/>
      <c r="BA240" s="145"/>
      <c r="BB240" s="145"/>
      <c r="BC240" s="145"/>
      <c r="BD240" s="145"/>
      <c r="BE240" s="145"/>
      <c r="BF240" s="145"/>
      <c r="BG240" s="145"/>
      <c r="BH240" s="145"/>
      <c r="BI240" s="145"/>
      <c r="BJ240" s="145"/>
      <c r="BK240" s="145"/>
      <c r="BL240" s="145"/>
      <c r="BM240" s="145"/>
      <c r="BN240" s="145"/>
      <c r="BO240" s="145"/>
      <c r="BP240" s="145"/>
      <c r="BQ240" s="145"/>
      <c r="BR240" s="145"/>
      <c r="BS240" s="145"/>
      <c r="BT240" s="145"/>
      <c r="BU240" s="145"/>
      <c r="BV240" s="145"/>
      <c r="BW240" s="145"/>
      <c r="BX240" s="145"/>
      <c r="BY240" s="145"/>
      <c r="BZ240" s="145"/>
      <c r="CA240" s="145"/>
      <c r="CB240" s="145"/>
      <c r="CC240" s="145"/>
      <c r="CD240" s="145"/>
      <c r="CE240" s="145"/>
      <c r="CF240" s="145"/>
      <c r="CG240" s="145"/>
      <c r="CH240" s="145"/>
      <c r="CI240" s="145"/>
      <c r="CJ240" s="145"/>
      <c r="CK240" s="145"/>
      <c r="CL240" s="145"/>
      <c r="CM240" s="145"/>
      <c r="CN240" s="145"/>
      <c r="CO240" s="145"/>
      <c r="CP240" s="145"/>
      <c r="CQ240" s="145"/>
      <c r="CR240" s="145"/>
      <c r="CS240" s="145"/>
      <c r="CT240" s="145"/>
      <c r="CU240" s="145"/>
      <c r="CV240" s="145"/>
      <c r="CW240" s="145"/>
      <c r="CX240" s="145"/>
      <c r="CY240" s="145"/>
      <c r="CZ240" s="145"/>
      <c r="DA240" s="145"/>
      <c r="DB240" s="145"/>
      <c r="DC240" s="145"/>
      <c r="DD240" s="145"/>
      <c r="DE240" s="145"/>
      <c r="DF240" s="145"/>
      <c r="DG240" s="145"/>
      <c r="DH240" s="145"/>
      <c r="DI240" s="145"/>
      <c r="DJ240" s="145"/>
      <c r="DK240" s="145"/>
      <c r="DL240" s="145"/>
      <c r="DM240" s="145"/>
      <c r="DN240" s="145"/>
      <c r="DO240" s="145"/>
      <c r="DP240" s="145"/>
      <c r="DQ240" s="145"/>
      <c r="DR240" s="145"/>
      <c r="DS240" s="145"/>
      <c r="DT240" s="145"/>
      <c r="DU240" s="145"/>
      <c r="DV240" s="145"/>
      <c r="DW240" s="145"/>
      <c r="DX240" s="145"/>
      <c r="DY240" s="145"/>
      <c r="DZ240" s="145"/>
      <c r="EA240" s="145"/>
      <c r="EB240" s="145"/>
      <c r="EC240" s="145"/>
      <c r="ED240" s="145"/>
      <c r="EE240" s="145"/>
      <c r="EF240" s="145"/>
      <c r="EG240" s="145"/>
      <c r="EH240" s="145"/>
      <c r="EI240" s="145"/>
      <c r="EJ240" s="145"/>
      <c r="EK240" s="145"/>
      <c r="EL240" s="145"/>
      <c r="EM240" s="145"/>
      <c r="EN240" s="145"/>
      <c r="EO240" s="145"/>
      <c r="EP240" s="145"/>
      <c r="EQ240" s="145"/>
      <c r="ER240" s="145"/>
      <c r="ES240" s="145"/>
      <c r="ET240" s="145"/>
      <c r="EU240" s="145"/>
      <c r="EV240" s="145"/>
      <c r="EW240" s="145"/>
      <c r="EX240" s="145"/>
      <c r="EY240" s="145"/>
      <c r="EZ240" s="145"/>
      <c r="FA240" s="145"/>
      <c r="FB240" s="145"/>
      <c r="FC240" s="145"/>
      <c r="FD240" s="145"/>
      <c r="FE240" s="145"/>
      <c r="FF240" s="145"/>
      <c r="FG240" s="145"/>
      <c r="FH240" s="145"/>
      <c r="FI240" s="145"/>
      <c r="FJ240" s="145"/>
      <c r="FK240" s="145"/>
      <c r="FL240" s="145"/>
      <c r="FM240" s="145"/>
      <c r="FN240" s="145"/>
      <c r="FO240" s="145"/>
      <c r="FP240" s="145"/>
      <c r="FQ240" s="145"/>
      <c r="FR240" s="145"/>
      <c r="FS240" s="145"/>
      <c r="FT240" s="145"/>
      <c r="FU240" s="145"/>
      <c r="FV240" s="145"/>
      <c r="FW240" s="145"/>
      <c r="FX240" s="145"/>
      <c r="FY240" s="145"/>
      <c r="FZ240" s="145"/>
      <c r="GA240" s="145"/>
      <c r="GB240" s="145"/>
      <c r="GC240" s="145"/>
      <c r="GD240" s="145"/>
      <c r="GE240" s="145"/>
      <c r="GF240" s="145"/>
      <c r="GG240" s="145"/>
      <c r="GH240" s="145"/>
      <c r="GI240" s="145"/>
      <c r="GJ240" s="145"/>
      <c r="GK240" s="145"/>
      <c r="GL240" s="145"/>
      <c r="GM240" s="145"/>
      <c r="GN240" s="145"/>
      <c r="GO240" s="145"/>
      <c r="GP240" s="145"/>
      <c r="GQ240" s="145"/>
      <c r="GR240" s="145"/>
      <c r="GS240" s="145"/>
      <c r="GT240" s="145"/>
      <c r="GU240" s="145"/>
      <c r="GV240" s="145"/>
      <c r="GW240" s="145"/>
      <c r="GX240" s="145"/>
      <c r="GY240" s="145"/>
      <c r="GZ240" s="145"/>
      <c r="HA240" s="145"/>
      <c r="HB240" s="145"/>
      <c r="HC240" s="145"/>
      <c r="HD240" s="145"/>
      <c r="HE240" s="145"/>
      <c r="HF240" s="145"/>
      <c r="HG240" s="145"/>
      <c r="HH240" s="145"/>
      <c r="HI240" s="145"/>
      <c r="HJ240" s="145"/>
      <c r="HK240" s="145"/>
      <c r="HL240" s="145"/>
      <c r="HM240" s="145"/>
      <c r="HN240" s="145"/>
      <c r="HO240" s="145"/>
      <c r="HP240" s="145"/>
      <c r="HQ240" s="145"/>
      <c r="HR240" s="145"/>
      <c r="HS240" s="145"/>
      <c r="HT240" s="145"/>
      <c r="HU240" s="145"/>
      <c r="HV240" s="145"/>
      <c r="HW240" s="145"/>
      <c r="HX240" s="145"/>
      <c r="HY240" s="145"/>
      <c r="HZ240" s="145"/>
      <c r="IA240" s="145"/>
      <c r="IB240" s="145"/>
      <c r="IC240" s="145"/>
      <c r="ID240" s="145"/>
      <c r="IE240" s="145"/>
      <c r="IF240" s="145"/>
      <c r="IG240" s="145"/>
      <c r="IH240" s="145"/>
      <c r="II240" s="145"/>
      <c r="IJ240" s="145"/>
      <c r="IK240" s="145"/>
      <c r="IL240" s="145"/>
      <c r="IM240" s="145"/>
      <c r="IN240" s="145"/>
      <c r="IO240" s="145"/>
      <c r="IP240" s="145"/>
      <c r="IQ240" s="145"/>
      <c r="IR240" s="145"/>
      <c r="IS240" s="145"/>
      <c r="IT240" s="145"/>
      <c r="IU240" s="145"/>
      <c r="IV240" s="145"/>
    </row>
    <row r="241" spans="1:17">
      <c r="A241" s="18" t="s">
        <v>220</v>
      </c>
      <c r="B241" s="1"/>
      <c r="C241" s="23" t="s">
        <v>221</v>
      </c>
      <c r="D241" s="1"/>
      <c r="E241" s="1"/>
      <c r="F241" s="1"/>
      <c r="G241" s="1"/>
      <c r="H241" s="1"/>
      <c r="I241" s="1"/>
      <c r="J241" s="1"/>
      <c r="K241" s="1"/>
      <c r="L241" s="1"/>
      <c r="M241" s="18"/>
    </row>
    <row r="242" spans="1:17">
      <c r="A242" s="18"/>
      <c r="B242" s="1"/>
      <c r="C242" s="23" t="s">
        <v>222</v>
      </c>
      <c r="D242" s="1"/>
      <c r="E242" s="1"/>
      <c r="F242" s="1"/>
      <c r="G242" s="1"/>
      <c r="H242" s="1"/>
      <c r="I242" s="1"/>
      <c r="J242" s="1"/>
      <c r="K242" s="1"/>
      <c r="L242" s="1"/>
      <c r="M242" s="18"/>
    </row>
    <row r="243" spans="1:17">
      <c r="A243" s="18" t="s">
        <v>223</v>
      </c>
      <c r="B243" s="1"/>
      <c r="C243" s="5" t="s">
        <v>224</v>
      </c>
      <c r="D243" s="23"/>
      <c r="E243" s="23"/>
      <c r="F243" s="23"/>
      <c r="G243" s="23"/>
      <c r="H243" s="23"/>
      <c r="I243" s="23"/>
      <c r="J243" s="23"/>
      <c r="K243" s="23"/>
      <c r="L243" s="23"/>
      <c r="M243" s="18"/>
    </row>
    <row r="244" spans="1:17">
      <c r="A244" s="47" t="s">
        <v>225</v>
      </c>
      <c r="C244" s="23" t="s">
        <v>226</v>
      </c>
      <c r="D244" s="23"/>
      <c r="E244" s="23"/>
      <c r="F244" s="23"/>
      <c r="G244" s="23"/>
      <c r="H244" s="23"/>
      <c r="I244" s="23"/>
      <c r="J244" s="23"/>
      <c r="K244" s="23"/>
      <c r="L244" s="23"/>
    </row>
    <row r="245" spans="1:17">
      <c r="A245" s="47" t="s">
        <v>227</v>
      </c>
      <c r="C245" s="23" t="s">
        <v>228</v>
      </c>
      <c r="D245" s="23"/>
      <c r="E245" s="23"/>
      <c r="F245" s="23"/>
      <c r="G245" s="23"/>
      <c r="H245" s="23"/>
      <c r="I245" s="23"/>
      <c r="J245" s="23"/>
      <c r="K245" s="23"/>
      <c r="L245" s="23"/>
    </row>
    <row r="246" spans="1:17">
      <c r="A246" s="47"/>
      <c r="C246" s="865"/>
      <c r="D246" s="865"/>
      <c r="E246" s="865"/>
      <c r="F246" s="865"/>
      <c r="G246" s="865"/>
      <c r="H246" s="865"/>
      <c r="I246" s="865"/>
      <c r="J246" s="865"/>
      <c r="K246" s="865"/>
      <c r="L246" s="865"/>
      <c r="N246" s="147"/>
      <c r="O246" s="147"/>
      <c r="P246" s="147"/>
      <c r="Q246" s="147"/>
    </row>
    <row r="247" spans="1:17" ht="21.75" customHeight="1">
      <c r="N247" s="147"/>
      <c r="O247" s="147"/>
      <c r="P247" s="147"/>
      <c r="Q247" s="147"/>
    </row>
    <row r="248" spans="1:17">
      <c r="C248" s="142"/>
      <c r="D248" s="142"/>
      <c r="E248" s="148"/>
      <c r="F248" s="148"/>
      <c r="G248" s="142"/>
      <c r="H248" s="142"/>
      <c r="N248" s="147"/>
      <c r="O248" s="147"/>
      <c r="P248" s="147"/>
      <c r="Q248" s="147"/>
    </row>
    <row r="249" spans="1:17">
      <c r="C249" s="142"/>
      <c r="D249" s="142"/>
      <c r="E249" s="148"/>
      <c r="F249" s="148"/>
      <c r="G249" s="142"/>
      <c r="H249" s="149"/>
      <c r="N249" s="147"/>
      <c r="O249" s="147"/>
      <c r="P249" s="147"/>
      <c r="Q249" s="147"/>
    </row>
    <row r="250" spans="1:17">
      <c r="C250" s="142"/>
      <c r="D250" s="142"/>
      <c r="E250" s="148"/>
      <c r="F250" s="148"/>
      <c r="G250" s="142"/>
      <c r="H250" s="150"/>
      <c r="N250" s="147"/>
      <c r="O250" s="147"/>
      <c r="P250" s="147"/>
      <c r="Q250" s="147"/>
    </row>
    <row r="251" spans="1:17">
      <c r="C251" s="142"/>
      <c r="D251" s="142"/>
      <c r="E251" s="148"/>
      <c r="F251" s="148"/>
      <c r="G251" s="142"/>
      <c r="H251" s="151"/>
      <c r="N251" s="147"/>
      <c r="O251" s="147"/>
      <c r="P251" s="147"/>
      <c r="Q251" s="147"/>
    </row>
    <row r="252" spans="1:17">
      <c r="N252" s="147"/>
      <c r="O252" s="147"/>
      <c r="P252" s="147"/>
      <c r="Q252" s="147"/>
    </row>
    <row r="253" spans="1:17">
      <c r="N253" s="147"/>
      <c r="O253" s="147"/>
      <c r="P253" s="147"/>
      <c r="Q253" s="147"/>
    </row>
    <row r="254" spans="1:17">
      <c r="N254" s="147"/>
      <c r="O254" s="147"/>
      <c r="P254" s="147"/>
      <c r="Q254" s="147"/>
    </row>
    <row r="255" spans="1:17">
      <c r="N255" s="147"/>
      <c r="O255" s="147"/>
      <c r="P255" s="147"/>
      <c r="Q255" s="147"/>
    </row>
    <row r="256" spans="1:17">
      <c r="N256" s="147"/>
      <c r="O256" s="147"/>
      <c r="P256" s="147"/>
      <c r="Q256" s="147"/>
    </row>
    <row r="257" spans="14:17">
      <c r="N257" s="147"/>
      <c r="O257" s="147"/>
      <c r="P257" s="147"/>
      <c r="Q257" s="147"/>
    </row>
    <row r="258" spans="14:17">
      <c r="N258" s="147"/>
      <c r="O258" s="147"/>
      <c r="P258" s="147"/>
      <c r="Q258" s="147"/>
    </row>
    <row r="259" spans="14:17">
      <c r="N259" s="147"/>
      <c r="O259" s="147"/>
      <c r="P259" s="147"/>
      <c r="Q259" s="147"/>
    </row>
    <row r="260" spans="14:17">
      <c r="N260" s="147"/>
      <c r="O260" s="147"/>
      <c r="P260" s="147"/>
      <c r="Q260" s="147"/>
    </row>
    <row r="261" spans="14:17">
      <c r="N261" s="147"/>
      <c r="O261" s="147"/>
      <c r="P261" s="147"/>
      <c r="Q261" s="147"/>
    </row>
    <row r="262" spans="14:17">
      <c r="N262" s="147"/>
      <c r="O262" s="147"/>
      <c r="P262" s="147"/>
      <c r="Q262" s="147"/>
    </row>
    <row r="263" spans="14:17">
      <c r="N263" s="147"/>
      <c r="O263" s="147"/>
      <c r="P263" s="147"/>
      <c r="Q263" s="147"/>
    </row>
    <row r="264" spans="14:17">
      <c r="N264" s="147"/>
      <c r="O264" s="147"/>
      <c r="P264" s="147"/>
      <c r="Q264" s="147"/>
    </row>
    <row r="265" spans="14:17">
      <c r="N265" s="147"/>
      <c r="O265" s="147"/>
      <c r="P265" s="147"/>
      <c r="Q265" s="147"/>
    </row>
    <row r="266" spans="14:17">
      <c r="N266" s="147"/>
      <c r="O266" s="147"/>
      <c r="P266" s="147"/>
      <c r="Q266" s="147"/>
    </row>
    <row r="267" spans="14:17">
      <c r="N267" s="147"/>
      <c r="O267" s="147"/>
      <c r="P267" s="147"/>
      <c r="Q267" s="147"/>
    </row>
    <row r="268" spans="14:17">
      <c r="N268" s="147"/>
      <c r="O268" s="147"/>
      <c r="P268" s="147"/>
      <c r="Q268" s="147"/>
    </row>
    <row r="269" spans="14:17">
      <c r="N269" s="147"/>
      <c r="O269" s="147"/>
      <c r="P269" s="147"/>
      <c r="Q269" s="147"/>
    </row>
    <row r="270" spans="14:17">
      <c r="N270" s="147"/>
      <c r="O270" s="147"/>
      <c r="P270" s="147"/>
      <c r="Q270" s="147"/>
    </row>
    <row r="271" spans="14:17">
      <c r="N271" s="147"/>
      <c r="O271" s="147"/>
      <c r="P271" s="147"/>
      <c r="Q271" s="147"/>
    </row>
    <row r="272" spans="14:17">
      <c r="N272" s="147"/>
      <c r="O272" s="147"/>
      <c r="P272" s="147"/>
      <c r="Q272" s="147"/>
    </row>
    <row r="273" spans="14:17">
      <c r="N273" s="147"/>
      <c r="O273" s="147"/>
      <c r="P273" s="147"/>
      <c r="Q273" s="147"/>
    </row>
    <row r="274" spans="14:17">
      <c r="N274" s="147"/>
      <c r="O274" s="147"/>
      <c r="P274" s="147"/>
      <c r="Q274" s="147"/>
    </row>
    <row r="275" spans="14:17">
      <c r="N275" s="147"/>
      <c r="O275" s="147"/>
      <c r="P275" s="147"/>
      <c r="Q275" s="147"/>
    </row>
    <row r="276" spans="14:17">
      <c r="N276" s="147"/>
      <c r="O276" s="147"/>
      <c r="P276" s="147"/>
      <c r="Q276" s="147"/>
    </row>
    <row r="277" spans="14:17">
      <c r="N277" s="147"/>
      <c r="O277" s="147"/>
      <c r="P277" s="147"/>
      <c r="Q277" s="147"/>
    </row>
    <row r="278" spans="14:17">
      <c r="N278" s="147"/>
      <c r="O278" s="147"/>
      <c r="P278" s="147"/>
      <c r="Q278" s="147"/>
    </row>
    <row r="279" spans="14:17">
      <c r="N279" s="147"/>
      <c r="O279" s="147"/>
      <c r="P279" s="147"/>
      <c r="Q279" s="147"/>
    </row>
    <row r="280" spans="14:17">
      <c r="N280" s="147"/>
      <c r="O280" s="147"/>
      <c r="P280" s="147"/>
      <c r="Q280" s="147"/>
    </row>
    <row r="281" spans="14:17">
      <c r="N281" s="147"/>
      <c r="O281" s="147"/>
      <c r="P281" s="147"/>
      <c r="Q281" s="147"/>
    </row>
    <row r="282" spans="14:17">
      <c r="N282" s="147"/>
      <c r="O282" s="147"/>
      <c r="P282" s="147"/>
      <c r="Q282" s="147"/>
    </row>
    <row r="283" spans="14:17">
      <c r="N283" s="147"/>
      <c r="O283" s="147"/>
      <c r="P283" s="147"/>
      <c r="Q283" s="147"/>
    </row>
    <row r="284" spans="14:17">
      <c r="N284" s="147"/>
      <c r="O284" s="147"/>
      <c r="P284" s="147"/>
      <c r="Q284" s="147"/>
    </row>
    <row r="285" spans="14:17">
      <c r="N285" s="147"/>
      <c r="O285" s="147"/>
      <c r="P285" s="147"/>
      <c r="Q285" s="147"/>
    </row>
    <row r="286" spans="14:17">
      <c r="N286" s="147"/>
      <c r="O286" s="147"/>
      <c r="P286" s="147"/>
      <c r="Q286" s="147"/>
    </row>
    <row r="287" spans="14:17">
      <c r="N287" s="147"/>
      <c r="O287" s="147"/>
      <c r="P287" s="147"/>
      <c r="Q287" s="147"/>
    </row>
    <row r="288" spans="14:17">
      <c r="N288" s="147"/>
      <c r="O288" s="147"/>
      <c r="P288" s="147"/>
      <c r="Q288" s="147"/>
    </row>
    <row r="289" spans="14:17">
      <c r="N289" s="147"/>
      <c r="O289" s="147"/>
      <c r="P289" s="147"/>
      <c r="Q289" s="147"/>
    </row>
    <row r="290" spans="14:17">
      <c r="N290" s="147"/>
      <c r="O290" s="147"/>
      <c r="P290" s="147"/>
      <c r="Q290" s="147"/>
    </row>
    <row r="291" spans="14:17">
      <c r="N291" s="147"/>
      <c r="O291" s="147"/>
      <c r="P291" s="147"/>
      <c r="Q291" s="147"/>
    </row>
    <row r="292" spans="14:17">
      <c r="N292" s="147"/>
      <c r="O292" s="147"/>
      <c r="P292" s="147"/>
      <c r="Q292" s="147"/>
    </row>
    <row r="293" spans="14:17">
      <c r="N293" s="147"/>
      <c r="O293" s="147"/>
      <c r="P293" s="147"/>
      <c r="Q293" s="147"/>
    </row>
    <row r="294" spans="14:17">
      <c r="N294" s="147"/>
      <c r="O294" s="147"/>
      <c r="P294" s="147"/>
      <c r="Q294" s="147"/>
    </row>
    <row r="295" spans="14:17">
      <c r="N295" s="147"/>
      <c r="O295" s="147"/>
      <c r="P295" s="147"/>
      <c r="Q295" s="147"/>
    </row>
    <row r="296" spans="14:17">
      <c r="N296" s="147"/>
      <c r="O296" s="147"/>
      <c r="P296" s="147"/>
      <c r="Q296" s="147"/>
    </row>
    <row r="297" spans="14:17">
      <c r="N297" s="147"/>
      <c r="O297" s="147"/>
      <c r="P297" s="147"/>
      <c r="Q297" s="147"/>
    </row>
    <row r="298" spans="14:17">
      <c r="N298" s="147"/>
      <c r="O298" s="147"/>
      <c r="P298" s="147"/>
      <c r="Q298" s="147"/>
    </row>
    <row r="299" spans="14:17">
      <c r="N299" s="147"/>
      <c r="O299" s="147"/>
      <c r="P299" s="147"/>
      <c r="Q299" s="147"/>
    </row>
    <row r="300" spans="14:17">
      <c r="N300" s="147"/>
      <c r="O300" s="147"/>
      <c r="P300" s="147"/>
      <c r="Q300" s="147"/>
    </row>
    <row r="301" spans="14:17">
      <c r="N301" s="147"/>
      <c r="O301" s="147"/>
      <c r="P301" s="147"/>
      <c r="Q301" s="147"/>
    </row>
    <row r="302" spans="14:17">
      <c r="N302" s="147"/>
      <c r="O302" s="147"/>
      <c r="P302" s="147"/>
      <c r="Q302" s="147"/>
    </row>
    <row r="303" spans="14:17">
      <c r="N303" s="147"/>
      <c r="O303" s="147"/>
      <c r="P303" s="147"/>
      <c r="Q303" s="147"/>
    </row>
    <row r="304" spans="14:17">
      <c r="N304" s="147"/>
      <c r="O304" s="147"/>
      <c r="P304" s="147"/>
      <c r="Q304" s="147"/>
    </row>
    <row r="305" spans="14:17">
      <c r="N305" s="147"/>
      <c r="O305" s="147"/>
      <c r="P305" s="147"/>
      <c r="Q305" s="147"/>
    </row>
    <row r="306" spans="14:17">
      <c r="N306" s="147"/>
      <c r="O306" s="147"/>
      <c r="P306" s="147"/>
      <c r="Q306" s="147"/>
    </row>
    <row r="307" spans="14:17">
      <c r="N307" s="147"/>
      <c r="O307" s="147"/>
      <c r="P307" s="147"/>
      <c r="Q307" s="147"/>
    </row>
    <row r="308" spans="14:17">
      <c r="N308" s="147"/>
      <c r="O308" s="147"/>
      <c r="P308" s="147"/>
      <c r="Q308" s="147"/>
    </row>
    <row r="309" spans="14:17">
      <c r="N309" s="147"/>
      <c r="O309" s="147"/>
      <c r="P309" s="147"/>
      <c r="Q309" s="147"/>
    </row>
    <row r="310" spans="14:17">
      <c r="N310" s="147"/>
      <c r="O310" s="147"/>
      <c r="P310" s="147"/>
      <c r="Q310" s="147"/>
    </row>
    <row r="311" spans="14:17">
      <c r="N311" s="147"/>
      <c r="O311" s="147"/>
      <c r="P311" s="147"/>
      <c r="Q311" s="147"/>
    </row>
    <row r="312" spans="14:17">
      <c r="N312" s="147"/>
      <c r="O312" s="147"/>
      <c r="P312" s="147"/>
      <c r="Q312" s="147"/>
    </row>
    <row r="313" spans="14:17">
      <c r="N313" s="147"/>
      <c r="O313" s="147"/>
      <c r="P313" s="147"/>
      <c r="Q313" s="147"/>
    </row>
    <row r="314" spans="14:17">
      <c r="N314" s="147"/>
      <c r="O314" s="147"/>
      <c r="P314" s="147"/>
      <c r="Q314" s="147"/>
    </row>
    <row r="315" spans="14:17">
      <c r="N315" s="147"/>
      <c r="O315" s="147"/>
      <c r="P315" s="147"/>
      <c r="Q315" s="147"/>
    </row>
    <row r="316" spans="14:17">
      <c r="N316" s="147"/>
      <c r="O316" s="147"/>
      <c r="P316" s="147"/>
      <c r="Q316" s="147"/>
    </row>
    <row r="317" spans="14:17">
      <c r="N317" s="147"/>
      <c r="O317" s="147"/>
      <c r="P317" s="147"/>
      <c r="Q317" s="147"/>
    </row>
    <row r="318" spans="14:17">
      <c r="N318" s="147"/>
      <c r="O318" s="147"/>
      <c r="P318" s="147"/>
      <c r="Q318" s="147"/>
    </row>
    <row r="319" spans="14:17">
      <c r="N319" s="147"/>
      <c r="O319" s="147"/>
      <c r="P319" s="147"/>
      <c r="Q319" s="147"/>
    </row>
    <row r="320" spans="14:17">
      <c r="N320" s="147"/>
      <c r="O320" s="147"/>
      <c r="P320" s="147"/>
      <c r="Q320" s="147"/>
    </row>
    <row r="321" spans="14:17">
      <c r="N321" s="147"/>
      <c r="O321" s="147"/>
      <c r="P321" s="147"/>
      <c r="Q321" s="147"/>
    </row>
    <row r="322" spans="14:17">
      <c r="N322" s="147"/>
      <c r="O322" s="147"/>
      <c r="P322" s="147"/>
      <c r="Q322" s="147"/>
    </row>
    <row r="323" spans="14:17">
      <c r="N323" s="147"/>
      <c r="O323" s="147"/>
      <c r="P323" s="147"/>
      <c r="Q323" s="147"/>
    </row>
    <row r="324" spans="14:17">
      <c r="N324" s="147"/>
      <c r="O324" s="147"/>
      <c r="P324" s="147"/>
      <c r="Q324" s="147"/>
    </row>
    <row r="325" spans="14:17">
      <c r="N325" s="147"/>
      <c r="O325" s="147"/>
      <c r="P325" s="147"/>
      <c r="Q325" s="147"/>
    </row>
    <row r="326" spans="14:17">
      <c r="N326" s="147"/>
      <c r="O326" s="147"/>
      <c r="P326" s="147"/>
      <c r="Q326" s="147"/>
    </row>
    <row r="327" spans="14:17">
      <c r="N327" s="147"/>
      <c r="O327" s="147"/>
      <c r="P327" s="147"/>
      <c r="Q327" s="147"/>
    </row>
    <row r="328" spans="14:17">
      <c r="N328" s="147"/>
      <c r="O328" s="147"/>
      <c r="P328" s="147"/>
      <c r="Q328" s="147"/>
    </row>
    <row r="329" spans="14:17">
      <c r="N329" s="147"/>
      <c r="O329" s="147"/>
      <c r="P329" s="147"/>
      <c r="Q329" s="147"/>
    </row>
    <row r="330" spans="14:17">
      <c r="N330" s="147"/>
      <c r="O330" s="147"/>
      <c r="P330" s="147"/>
      <c r="Q330" s="147"/>
    </row>
    <row r="331" spans="14:17">
      <c r="N331" s="147"/>
      <c r="O331" s="147"/>
      <c r="P331" s="147"/>
      <c r="Q331" s="147"/>
    </row>
    <row r="332" spans="14:17">
      <c r="N332" s="147"/>
      <c r="O332" s="147"/>
      <c r="P332" s="147"/>
      <c r="Q332" s="147"/>
    </row>
    <row r="333" spans="14:17">
      <c r="N333" s="147"/>
      <c r="O333" s="147"/>
      <c r="P333" s="147"/>
      <c r="Q333" s="147"/>
    </row>
    <row r="334" spans="14:17">
      <c r="N334" s="147"/>
      <c r="O334" s="147"/>
      <c r="P334" s="147"/>
      <c r="Q334" s="147"/>
    </row>
    <row r="335" spans="14:17">
      <c r="N335" s="147"/>
      <c r="O335" s="147"/>
      <c r="P335" s="147"/>
      <c r="Q335" s="147"/>
    </row>
    <row r="336" spans="14:17">
      <c r="N336" s="147"/>
      <c r="O336" s="147"/>
      <c r="P336" s="147"/>
      <c r="Q336" s="147"/>
    </row>
    <row r="337" spans="14:17">
      <c r="N337" s="147"/>
      <c r="O337" s="147"/>
      <c r="P337" s="147"/>
      <c r="Q337" s="147"/>
    </row>
    <row r="338" spans="14:17">
      <c r="N338" s="147"/>
      <c r="O338" s="147"/>
      <c r="P338" s="147"/>
      <c r="Q338" s="147"/>
    </row>
    <row r="339" spans="14:17">
      <c r="N339" s="147"/>
      <c r="O339" s="147"/>
      <c r="P339" s="147"/>
      <c r="Q339" s="147"/>
    </row>
    <row r="340" spans="14:17">
      <c r="N340" s="147"/>
      <c r="O340" s="147"/>
      <c r="P340" s="147"/>
      <c r="Q340" s="147"/>
    </row>
    <row r="341" spans="14:17">
      <c r="N341" s="147"/>
      <c r="O341" s="147"/>
      <c r="P341" s="147"/>
      <c r="Q341" s="147"/>
    </row>
    <row r="342" spans="14:17">
      <c r="N342" s="147"/>
      <c r="O342" s="147"/>
      <c r="P342" s="147"/>
      <c r="Q342" s="147"/>
    </row>
    <row r="343" spans="14:17">
      <c r="N343" s="147"/>
      <c r="O343" s="147"/>
      <c r="P343" s="147"/>
      <c r="Q343" s="147"/>
    </row>
    <row r="344" spans="14:17">
      <c r="N344" s="147"/>
      <c r="O344" s="147"/>
      <c r="P344" s="147"/>
      <c r="Q344" s="147"/>
    </row>
    <row r="345" spans="14:17">
      <c r="N345" s="147"/>
      <c r="O345" s="147"/>
      <c r="P345" s="147"/>
      <c r="Q345" s="147"/>
    </row>
    <row r="346" spans="14:17">
      <c r="N346" s="147"/>
      <c r="O346" s="147"/>
      <c r="P346" s="147"/>
      <c r="Q346" s="147"/>
    </row>
    <row r="347" spans="14:17">
      <c r="N347" s="147"/>
      <c r="O347" s="147"/>
      <c r="P347" s="147"/>
      <c r="Q347" s="147"/>
    </row>
    <row r="348" spans="14:17">
      <c r="N348" s="147"/>
      <c r="O348" s="147"/>
      <c r="P348" s="147"/>
      <c r="Q348" s="147"/>
    </row>
    <row r="349" spans="14:17">
      <c r="N349" s="147"/>
      <c r="O349" s="147"/>
      <c r="P349" s="147"/>
      <c r="Q349" s="147"/>
    </row>
    <row r="350" spans="14:17">
      <c r="N350" s="147"/>
      <c r="O350" s="147"/>
      <c r="P350" s="147"/>
      <c r="Q350" s="147"/>
    </row>
    <row r="351" spans="14:17">
      <c r="N351" s="147"/>
      <c r="O351" s="147"/>
      <c r="P351" s="147"/>
      <c r="Q351" s="147"/>
    </row>
    <row r="352" spans="14:17">
      <c r="N352" s="147"/>
      <c r="O352" s="147"/>
      <c r="P352" s="147"/>
      <c r="Q352" s="147"/>
    </row>
    <row r="353" spans="14:17">
      <c r="N353" s="147"/>
      <c r="O353" s="147"/>
      <c r="P353" s="147"/>
      <c r="Q353" s="147"/>
    </row>
    <row r="354" spans="14:17">
      <c r="N354" s="147"/>
      <c r="O354" s="147"/>
      <c r="P354" s="147"/>
      <c r="Q354" s="147"/>
    </row>
    <row r="355" spans="14:17">
      <c r="N355" s="147"/>
      <c r="O355" s="147"/>
      <c r="P355" s="147"/>
      <c r="Q355" s="147"/>
    </row>
    <row r="356" spans="14:17">
      <c r="N356" s="147"/>
      <c r="O356" s="147"/>
      <c r="P356" s="147"/>
      <c r="Q356" s="147"/>
    </row>
    <row r="357" spans="14:17">
      <c r="N357" s="147"/>
      <c r="O357" s="147"/>
      <c r="P357" s="147"/>
      <c r="Q357" s="147"/>
    </row>
    <row r="358" spans="14:17">
      <c r="N358" s="147"/>
      <c r="O358" s="147"/>
      <c r="P358" s="147"/>
      <c r="Q358" s="147"/>
    </row>
    <row r="359" spans="14:17">
      <c r="N359" s="147"/>
      <c r="O359" s="147"/>
      <c r="P359" s="147"/>
      <c r="Q359" s="147"/>
    </row>
    <row r="360" spans="14:17">
      <c r="N360" s="147"/>
      <c r="O360" s="147"/>
      <c r="P360" s="147"/>
      <c r="Q360" s="147"/>
    </row>
    <row r="361" spans="14:17">
      <c r="N361" s="147"/>
      <c r="O361" s="147"/>
      <c r="P361" s="147"/>
      <c r="Q361" s="147"/>
    </row>
    <row r="362" spans="14:17">
      <c r="N362" s="147"/>
      <c r="O362" s="147"/>
      <c r="P362" s="147"/>
      <c r="Q362" s="147"/>
    </row>
    <row r="363" spans="14:17">
      <c r="N363" s="147"/>
      <c r="O363" s="147"/>
      <c r="P363" s="147"/>
      <c r="Q363" s="147"/>
    </row>
    <row r="364" spans="14:17">
      <c r="N364" s="147"/>
      <c r="O364" s="147"/>
      <c r="P364" s="147"/>
      <c r="Q364" s="147"/>
    </row>
    <row r="365" spans="14:17">
      <c r="N365" s="147"/>
      <c r="O365" s="147"/>
      <c r="P365" s="147"/>
      <c r="Q365" s="147"/>
    </row>
    <row r="366" spans="14:17">
      <c r="N366" s="147"/>
      <c r="O366" s="147"/>
      <c r="P366" s="147"/>
      <c r="Q366" s="147"/>
    </row>
    <row r="367" spans="14:17">
      <c r="N367" s="147"/>
      <c r="O367" s="147"/>
      <c r="P367" s="147"/>
      <c r="Q367" s="147"/>
    </row>
    <row r="368" spans="14:17">
      <c r="N368" s="147"/>
      <c r="O368" s="147"/>
      <c r="P368" s="147"/>
      <c r="Q368" s="147"/>
    </row>
    <row r="369" spans="14:17">
      <c r="N369" s="147"/>
      <c r="O369" s="147"/>
      <c r="P369" s="147"/>
      <c r="Q369" s="147"/>
    </row>
    <row r="370" spans="14:17">
      <c r="N370" s="147"/>
      <c r="O370" s="147"/>
      <c r="P370" s="147"/>
      <c r="Q370" s="147"/>
    </row>
    <row r="371" spans="14:17">
      <c r="N371" s="147"/>
      <c r="O371" s="147"/>
      <c r="P371" s="147"/>
      <c r="Q371" s="147"/>
    </row>
    <row r="372" spans="14:17">
      <c r="N372" s="147"/>
      <c r="O372" s="147"/>
      <c r="P372" s="147"/>
      <c r="Q372" s="147"/>
    </row>
    <row r="373" spans="14:17">
      <c r="N373" s="147"/>
      <c r="O373" s="147"/>
      <c r="P373" s="147"/>
      <c r="Q373" s="147"/>
    </row>
    <row r="374" spans="14:17">
      <c r="N374" s="147"/>
      <c r="O374" s="147"/>
      <c r="P374" s="147"/>
      <c r="Q374" s="147"/>
    </row>
    <row r="375" spans="14:17">
      <c r="N375" s="147"/>
      <c r="O375" s="147"/>
      <c r="P375" s="147"/>
      <c r="Q375" s="147"/>
    </row>
    <row r="376" spans="14:17">
      <c r="N376" s="147"/>
      <c r="O376" s="147"/>
      <c r="P376" s="147"/>
      <c r="Q376" s="147"/>
    </row>
    <row r="377" spans="14:17">
      <c r="N377" s="147"/>
      <c r="O377" s="147"/>
      <c r="P377" s="147"/>
      <c r="Q377" s="147"/>
    </row>
    <row r="378" spans="14:17">
      <c r="N378" s="147"/>
      <c r="O378" s="147"/>
      <c r="P378" s="147"/>
      <c r="Q378" s="147"/>
    </row>
    <row r="379" spans="14:17">
      <c r="N379" s="147"/>
      <c r="O379" s="147"/>
      <c r="P379" s="147"/>
      <c r="Q379" s="147"/>
    </row>
    <row r="380" spans="14:17">
      <c r="N380" s="147"/>
      <c r="O380" s="147"/>
      <c r="P380" s="147"/>
      <c r="Q380" s="147"/>
    </row>
    <row r="381" spans="14:17">
      <c r="N381" s="147"/>
      <c r="O381" s="147"/>
      <c r="P381" s="147"/>
      <c r="Q381" s="147"/>
    </row>
    <row r="382" spans="14:17">
      <c r="N382" s="147"/>
      <c r="O382" s="147"/>
      <c r="P382" s="147"/>
      <c r="Q382" s="147"/>
    </row>
    <row r="383" spans="14:17">
      <c r="N383" s="147"/>
      <c r="O383" s="147"/>
      <c r="P383" s="147"/>
      <c r="Q383" s="147"/>
    </row>
    <row r="384" spans="14:17">
      <c r="N384" s="147"/>
      <c r="O384" s="147"/>
      <c r="P384" s="147"/>
      <c r="Q384" s="147"/>
    </row>
    <row r="385" spans="14:17">
      <c r="N385" s="147"/>
      <c r="O385" s="147"/>
      <c r="P385" s="147"/>
      <c r="Q385" s="147"/>
    </row>
    <row r="386" spans="14:17">
      <c r="N386" s="147"/>
      <c r="O386" s="147"/>
      <c r="P386" s="147"/>
      <c r="Q386" s="147"/>
    </row>
    <row r="387" spans="14:17">
      <c r="N387" s="147"/>
      <c r="O387" s="147"/>
      <c r="P387" s="147"/>
      <c r="Q387" s="147"/>
    </row>
    <row r="388" spans="14:17">
      <c r="N388" s="147"/>
      <c r="O388" s="147"/>
      <c r="P388" s="147"/>
      <c r="Q388" s="147"/>
    </row>
    <row r="389" spans="14:17">
      <c r="N389" s="147"/>
      <c r="O389" s="147"/>
      <c r="P389" s="147"/>
      <c r="Q389" s="147"/>
    </row>
    <row r="390" spans="14:17">
      <c r="N390" s="147"/>
      <c r="O390" s="147"/>
      <c r="P390" s="147"/>
      <c r="Q390" s="147"/>
    </row>
    <row r="391" spans="14:17">
      <c r="N391" s="147"/>
      <c r="O391" s="147"/>
      <c r="P391" s="147"/>
      <c r="Q391" s="147"/>
    </row>
    <row r="392" spans="14:17">
      <c r="N392" s="147"/>
      <c r="O392" s="147"/>
      <c r="P392" s="147"/>
      <c r="Q392" s="147"/>
    </row>
    <row r="393" spans="14:17">
      <c r="N393" s="147"/>
      <c r="O393" s="147"/>
      <c r="P393" s="147"/>
      <c r="Q393" s="147"/>
    </row>
    <row r="394" spans="14:17">
      <c r="N394" s="147"/>
      <c r="O394" s="147"/>
      <c r="P394" s="147"/>
      <c r="Q394" s="147"/>
    </row>
    <row r="395" spans="14:17">
      <c r="N395" s="147"/>
      <c r="O395" s="147"/>
      <c r="P395" s="147"/>
      <c r="Q395" s="147"/>
    </row>
    <row r="396" spans="14:17">
      <c r="N396" s="147"/>
      <c r="O396" s="147"/>
      <c r="P396" s="147"/>
      <c r="Q396" s="147"/>
    </row>
    <row r="397" spans="14:17">
      <c r="N397" s="147"/>
      <c r="O397" s="147"/>
      <c r="P397" s="147"/>
      <c r="Q397" s="147"/>
    </row>
    <row r="398" spans="14:17">
      <c r="N398" s="147"/>
      <c r="O398" s="147"/>
      <c r="P398" s="147"/>
      <c r="Q398" s="147"/>
    </row>
    <row r="399" spans="14:17">
      <c r="N399" s="147"/>
      <c r="O399" s="147"/>
      <c r="P399" s="147"/>
      <c r="Q399" s="147"/>
    </row>
    <row r="400" spans="14:17">
      <c r="N400" s="147"/>
      <c r="O400" s="147"/>
      <c r="P400" s="147"/>
      <c r="Q400" s="147"/>
    </row>
    <row r="401" spans="14:17">
      <c r="N401" s="147"/>
      <c r="O401" s="147"/>
      <c r="P401" s="147"/>
      <c r="Q401" s="147"/>
    </row>
    <row r="402" spans="14:17">
      <c r="N402" s="147"/>
      <c r="O402" s="147"/>
      <c r="P402" s="147"/>
      <c r="Q402" s="147"/>
    </row>
    <row r="403" spans="14:17">
      <c r="N403" s="147"/>
      <c r="O403" s="147"/>
      <c r="P403" s="147"/>
      <c r="Q403" s="147"/>
    </row>
    <row r="404" spans="14:17">
      <c r="N404" s="147"/>
      <c r="O404" s="147"/>
      <c r="P404" s="147"/>
      <c r="Q404" s="147"/>
    </row>
    <row r="405" spans="14:17">
      <c r="N405" s="147"/>
      <c r="O405" s="147"/>
      <c r="P405" s="147"/>
      <c r="Q405" s="147"/>
    </row>
    <row r="406" spans="14:17">
      <c r="N406" s="147"/>
      <c r="O406" s="147"/>
      <c r="P406" s="147"/>
      <c r="Q406" s="147"/>
    </row>
    <row r="407" spans="14:17">
      <c r="N407" s="147"/>
      <c r="O407" s="147"/>
      <c r="P407" s="147"/>
      <c r="Q407" s="147"/>
    </row>
    <row r="408" spans="14:17">
      <c r="N408" s="147"/>
      <c r="O408" s="147"/>
      <c r="P408" s="147"/>
      <c r="Q408" s="147"/>
    </row>
    <row r="409" spans="14:17">
      <c r="N409" s="147"/>
      <c r="O409" s="147"/>
      <c r="P409" s="147"/>
      <c r="Q409" s="147"/>
    </row>
    <row r="410" spans="14:17">
      <c r="N410" s="147"/>
      <c r="O410" s="147"/>
      <c r="P410" s="147"/>
      <c r="Q410" s="147"/>
    </row>
    <row r="411" spans="14:17">
      <c r="N411" s="147"/>
      <c r="O411" s="147"/>
      <c r="P411" s="147"/>
      <c r="Q411" s="147"/>
    </row>
    <row r="412" spans="14:17">
      <c r="N412" s="147"/>
      <c r="O412" s="147"/>
      <c r="P412" s="147"/>
      <c r="Q412" s="147"/>
    </row>
    <row r="413" spans="14:17">
      <c r="N413" s="147"/>
      <c r="O413" s="147"/>
      <c r="P413" s="147"/>
      <c r="Q413" s="147"/>
    </row>
    <row r="414" spans="14:17">
      <c r="N414" s="147"/>
      <c r="O414" s="147"/>
      <c r="P414" s="147"/>
      <c r="Q414" s="147"/>
    </row>
    <row r="415" spans="14:17">
      <c r="N415" s="147"/>
      <c r="O415" s="147"/>
      <c r="P415" s="147"/>
      <c r="Q415" s="147"/>
    </row>
    <row r="416" spans="14:17">
      <c r="N416" s="147"/>
      <c r="O416" s="147"/>
      <c r="P416" s="147"/>
      <c r="Q416" s="147"/>
    </row>
    <row r="417" spans="14:17">
      <c r="N417" s="147"/>
      <c r="O417" s="147"/>
      <c r="P417" s="147"/>
      <c r="Q417" s="147"/>
    </row>
    <row r="418" spans="14:17">
      <c r="N418" s="147"/>
      <c r="O418" s="147"/>
      <c r="P418" s="147"/>
      <c r="Q418" s="147"/>
    </row>
    <row r="419" spans="14:17">
      <c r="N419" s="147"/>
      <c r="O419" s="147"/>
      <c r="P419" s="147"/>
      <c r="Q419" s="147"/>
    </row>
    <row r="420" spans="14:17">
      <c r="N420" s="147"/>
      <c r="O420" s="147"/>
      <c r="P420" s="147"/>
      <c r="Q420" s="147"/>
    </row>
    <row r="421" spans="14:17">
      <c r="N421" s="147"/>
      <c r="O421" s="147"/>
      <c r="P421" s="147"/>
      <c r="Q421" s="147"/>
    </row>
    <row r="422" spans="14:17">
      <c r="N422" s="147"/>
      <c r="O422" s="147"/>
      <c r="P422" s="147"/>
      <c r="Q422" s="147"/>
    </row>
    <row r="423" spans="14:17">
      <c r="N423" s="147"/>
      <c r="O423" s="147"/>
      <c r="P423" s="147"/>
      <c r="Q423" s="147"/>
    </row>
    <row r="424" spans="14:17">
      <c r="N424" s="147"/>
      <c r="O424" s="147"/>
      <c r="P424" s="147"/>
      <c r="Q424" s="147"/>
    </row>
    <row r="425" spans="14:17">
      <c r="N425" s="147"/>
      <c r="O425" s="147"/>
      <c r="P425" s="147"/>
      <c r="Q425" s="147"/>
    </row>
    <row r="426" spans="14:17">
      <c r="N426" s="147"/>
      <c r="O426" s="147"/>
      <c r="P426" s="147"/>
      <c r="Q426" s="147"/>
    </row>
    <row r="427" spans="14:17">
      <c r="N427" s="147"/>
      <c r="O427" s="147"/>
      <c r="P427" s="147"/>
      <c r="Q427" s="147"/>
    </row>
    <row r="428" spans="14:17">
      <c r="N428" s="147"/>
      <c r="O428" s="147"/>
      <c r="P428" s="147"/>
      <c r="Q428" s="147"/>
    </row>
    <row r="429" spans="14:17">
      <c r="N429" s="147"/>
      <c r="O429" s="147"/>
      <c r="P429" s="147"/>
      <c r="Q429" s="147"/>
    </row>
    <row r="430" spans="14:17">
      <c r="N430" s="147"/>
      <c r="O430" s="147"/>
      <c r="P430" s="147"/>
      <c r="Q430" s="147"/>
    </row>
    <row r="431" spans="14:17">
      <c r="N431" s="147"/>
      <c r="O431" s="147"/>
      <c r="P431" s="147"/>
      <c r="Q431" s="147"/>
    </row>
    <row r="432" spans="14:17">
      <c r="N432" s="147"/>
      <c r="O432" s="147"/>
      <c r="P432" s="147"/>
      <c r="Q432" s="147"/>
    </row>
    <row r="433" spans="14:17">
      <c r="N433" s="147"/>
      <c r="O433" s="147"/>
      <c r="P433" s="147"/>
      <c r="Q433" s="147"/>
    </row>
    <row r="434" spans="14:17">
      <c r="N434" s="147"/>
      <c r="O434" s="147"/>
      <c r="P434" s="147"/>
      <c r="Q434" s="147"/>
    </row>
    <row r="435" spans="14:17">
      <c r="N435" s="147"/>
      <c r="O435" s="147"/>
      <c r="P435" s="147"/>
      <c r="Q435" s="147"/>
    </row>
    <row r="436" spans="14:17">
      <c r="N436" s="147"/>
      <c r="O436" s="147"/>
      <c r="P436" s="147"/>
      <c r="Q436" s="147"/>
    </row>
    <row r="437" spans="14:17">
      <c r="N437" s="147"/>
      <c r="O437" s="147"/>
      <c r="P437" s="147"/>
      <c r="Q437" s="147"/>
    </row>
    <row r="438" spans="14:17">
      <c r="N438" s="147"/>
      <c r="O438" s="147"/>
      <c r="P438" s="147"/>
      <c r="Q438" s="147"/>
    </row>
    <row r="439" spans="14:17">
      <c r="N439" s="147"/>
      <c r="O439" s="147"/>
      <c r="P439" s="147"/>
      <c r="Q439" s="147"/>
    </row>
    <row r="440" spans="14:17">
      <c r="N440" s="147"/>
      <c r="O440" s="147"/>
      <c r="P440" s="147"/>
      <c r="Q440" s="147"/>
    </row>
    <row r="441" spans="14:17">
      <c r="N441" s="147"/>
      <c r="O441" s="147"/>
      <c r="P441" s="147"/>
      <c r="Q441" s="147"/>
    </row>
    <row r="442" spans="14:17">
      <c r="N442" s="147"/>
      <c r="O442" s="147"/>
      <c r="P442" s="147"/>
      <c r="Q442" s="147"/>
    </row>
    <row r="443" spans="14:17">
      <c r="N443" s="147"/>
      <c r="O443" s="147"/>
      <c r="P443" s="147"/>
      <c r="Q443" s="147"/>
    </row>
    <row r="444" spans="14:17">
      <c r="N444" s="147"/>
      <c r="O444" s="147"/>
      <c r="P444" s="147"/>
      <c r="Q444" s="147"/>
    </row>
    <row r="445" spans="14:17">
      <c r="N445" s="147"/>
      <c r="O445" s="147"/>
      <c r="P445" s="147"/>
      <c r="Q445" s="147"/>
    </row>
    <row r="446" spans="14:17">
      <c r="N446" s="147"/>
      <c r="O446" s="147"/>
      <c r="P446" s="147"/>
      <c r="Q446" s="147"/>
    </row>
    <row r="447" spans="14:17">
      <c r="N447" s="147"/>
      <c r="O447" s="147"/>
      <c r="P447" s="147"/>
      <c r="Q447" s="147"/>
    </row>
    <row r="448" spans="14:17">
      <c r="N448" s="147"/>
      <c r="O448" s="147"/>
      <c r="P448" s="147"/>
      <c r="Q448" s="147"/>
    </row>
    <row r="449" spans="14:17">
      <c r="N449" s="147"/>
      <c r="O449" s="147"/>
      <c r="P449" s="147"/>
      <c r="Q449" s="147"/>
    </row>
    <row r="450" spans="14:17">
      <c r="N450" s="147"/>
      <c r="O450" s="147"/>
      <c r="P450" s="147"/>
      <c r="Q450" s="147"/>
    </row>
    <row r="451" spans="14:17">
      <c r="N451" s="147"/>
      <c r="O451" s="147"/>
      <c r="P451" s="147"/>
      <c r="Q451" s="147"/>
    </row>
    <row r="452" spans="14:17">
      <c r="N452" s="147"/>
      <c r="O452" s="147"/>
      <c r="P452" s="147"/>
      <c r="Q452" s="147"/>
    </row>
    <row r="453" spans="14:17">
      <c r="N453" s="147"/>
      <c r="O453" s="147"/>
      <c r="P453" s="147"/>
      <c r="Q453" s="147"/>
    </row>
    <row r="454" spans="14:17">
      <c r="N454" s="147"/>
      <c r="O454" s="147"/>
      <c r="P454" s="147"/>
      <c r="Q454" s="147"/>
    </row>
    <row r="455" spans="14:17">
      <c r="N455" s="147"/>
      <c r="O455" s="147"/>
      <c r="P455" s="147"/>
      <c r="Q455" s="147"/>
    </row>
    <row r="456" spans="14:17">
      <c r="N456" s="147"/>
      <c r="O456" s="147"/>
      <c r="P456" s="147"/>
      <c r="Q456" s="147"/>
    </row>
    <row r="457" spans="14:17">
      <c r="N457" s="147"/>
      <c r="O457" s="147"/>
      <c r="P457" s="147"/>
      <c r="Q457" s="147"/>
    </row>
    <row r="458" spans="14:17">
      <c r="N458" s="147"/>
      <c r="O458" s="147"/>
      <c r="P458" s="147"/>
      <c r="Q458" s="147"/>
    </row>
    <row r="459" spans="14:17">
      <c r="N459" s="147"/>
      <c r="O459" s="147"/>
      <c r="P459" s="147"/>
      <c r="Q459" s="147"/>
    </row>
    <row r="460" spans="14:17">
      <c r="N460" s="147"/>
      <c r="O460" s="147"/>
      <c r="P460" s="147"/>
      <c r="Q460" s="147"/>
    </row>
    <row r="461" spans="14:17">
      <c r="N461" s="147"/>
      <c r="O461" s="147"/>
      <c r="P461" s="147"/>
      <c r="Q461" s="147"/>
    </row>
    <row r="462" spans="14:17">
      <c r="N462" s="147"/>
      <c r="O462" s="147"/>
      <c r="P462" s="147"/>
      <c r="Q462" s="147"/>
    </row>
    <row r="463" spans="14:17">
      <c r="N463" s="147"/>
      <c r="O463" s="147"/>
      <c r="P463" s="147"/>
      <c r="Q463" s="147"/>
    </row>
    <row r="464" spans="14:17">
      <c r="N464" s="147"/>
      <c r="O464" s="147"/>
      <c r="P464" s="147"/>
      <c r="Q464" s="147"/>
    </row>
    <row r="465" spans="14:17">
      <c r="N465" s="147"/>
      <c r="O465" s="147"/>
      <c r="P465" s="147"/>
      <c r="Q465" s="147"/>
    </row>
    <row r="466" spans="14:17">
      <c r="N466" s="147"/>
      <c r="O466" s="147"/>
      <c r="P466" s="147"/>
      <c r="Q466" s="147"/>
    </row>
    <row r="467" spans="14:17">
      <c r="N467" s="147"/>
      <c r="O467" s="147"/>
      <c r="P467" s="147"/>
      <c r="Q467" s="147"/>
    </row>
    <row r="468" spans="14:17">
      <c r="N468" s="147"/>
      <c r="O468" s="147"/>
      <c r="P468" s="147"/>
      <c r="Q468" s="147"/>
    </row>
    <row r="469" spans="14:17">
      <c r="N469" s="147"/>
      <c r="O469" s="147"/>
      <c r="P469" s="147"/>
      <c r="Q469" s="147"/>
    </row>
    <row r="470" spans="14:17">
      <c r="N470" s="147"/>
      <c r="O470" s="147"/>
      <c r="P470" s="147"/>
      <c r="Q470" s="147"/>
    </row>
  </sheetData>
  <mergeCells count="19">
    <mergeCell ref="C246:L246"/>
    <mergeCell ref="C227:L227"/>
    <mergeCell ref="C228:L228"/>
    <mergeCell ref="C232:L232"/>
    <mergeCell ref="C233:L233"/>
    <mergeCell ref="C234:L234"/>
    <mergeCell ref="C239:L239"/>
    <mergeCell ref="C225:L225"/>
    <mergeCell ref="D7:H7"/>
    <mergeCell ref="D8:G8"/>
    <mergeCell ref="D58:G58"/>
    <mergeCell ref="D68:D69"/>
    <mergeCell ref="D78:D79"/>
    <mergeCell ref="D102:G102"/>
    <mergeCell ref="D166:G166"/>
    <mergeCell ref="K199:M199"/>
    <mergeCell ref="D211:G211"/>
    <mergeCell ref="C220:L220"/>
    <mergeCell ref="C223:L223"/>
  </mergeCells>
  <pageMargins left="0.52" right="0.25" top="0.77" bottom="0.75" header="0.5" footer="0.5"/>
  <pageSetup scale="52" fitToHeight="0" orientation="landscape" verticalDpi="300" r:id="rId1"/>
  <headerFooter alignWithMargins="0">
    <oddHeader xml:space="preserve">&amp;R&amp;"Times New Roman,Regular"
</oddHeader>
  </headerFooter>
  <rowBreaks count="4" manualBreakCount="4">
    <brk id="48" max="15" man="1"/>
    <brk id="97" max="16383" man="1"/>
    <brk id="157" max="15" man="1"/>
    <brk id="202" max="15"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A674-3BDD-481C-80FB-009AE882E7F5}">
  <dimension ref="A1:U232"/>
  <sheetViews>
    <sheetView view="pageBreakPreview" topLeftCell="A51" zoomScale="80" zoomScaleNormal="50" zoomScaleSheetLayoutView="80" workbookViewId="0">
      <selection activeCell="E117" sqref="E117"/>
    </sheetView>
  </sheetViews>
  <sheetFormatPr defaultColWidth="8.88671875" defaultRowHeight="15.75"/>
  <cols>
    <col min="1" max="1" width="5.21875" style="473" customWidth="1"/>
    <col min="2" max="2" width="51.44140625" style="468" customWidth="1"/>
    <col min="3" max="4" width="22.109375" style="473" customWidth="1"/>
    <col min="5" max="5" width="20.109375" style="473" customWidth="1"/>
    <col min="6" max="6" width="16.6640625" style="473" customWidth="1"/>
    <col min="7" max="7" width="20.88671875" style="473" customWidth="1"/>
    <col min="8" max="8" width="54" style="473" bestFit="1" customWidth="1"/>
    <col min="9" max="16384" width="8.88671875" style="573"/>
  </cols>
  <sheetData>
    <row r="1" spans="1:21" ht="18">
      <c r="B1" s="921" t="s">
        <v>731</v>
      </c>
      <c r="C1" s="921"/>
      <c r="D1" s="921"/>
      <c r="E1" s="921"/>
      <c r="F1" s="921"/>
      <c r="G1" s="921"/>
      <c r="H1" s="921"/>
      <c r="I1" s="575"/>
      <c r="J1" s="575"/>
    </row>
    <row r="2" spans="1:21" ht="18">
      <c r="B2" s="943"/>
      <c r="C2" s="944"/>
      <c r="D2" s="944"/>
      <c r="E2" s="944"/>
      <c r="F2" s="944"/>
      <c r="G2" s="944"/>
      <c r="H2" s="944"/>
      <c r="I2" s="575"/>
      <c r="J2" s="575"/>
    </row>
    <row r="3" spans="1:21" ht="18">
      <c r="B3" s="922" t="s">
        <v>521</v>
      </c>
      <c r="C3" s="855"/>
      <c r="D3" s="855"/>
      <c r="E3" s="855"/>
      <c r="F3" s="855"/>
      <c r="G3" s="855"/>
      <c r="H3" s="855"/>
      <c r="I3" s="575"/>
      <c r="J3" s="575"/>
    </row>
    <row r="4" spans="1:21" ht="18">
      <c r="B4" s="921" t="s">
        <v>337</v>
      </c>
      <c r="C4" s="921"/>
      <c r="D4" s="921"/>
      <c r="E4" s="921"/>
      <c r="F4" s="921"/>
      <c r="G4" s="921"/>
      <c r="H4" s="921"/>
      <c r="I4" s="575"/>
      <c r="J4" s="575"/>
    </row>
    <row r="5" spans="1:21" ht="18">
      <c r="B5" s="473"/>
      <c r="I5" s="575"/>
      <c r="J5" s="575"/>
    </row>
    <row r="6" spans="1:21">
      <c r="B6" s="468" t="s">
        <v>185</v>
      </c>
      <c r="D6" s="472" t="s">
        <v>187</v>
      </c>
      <c r="E6" s="472" t="s">
        <v>189</v>
      </c>
      <c r="F6" s="472" t="s">
        <v>192</v>
      </c>
      <c r="G6" s="472" t="s">
        <v>195</v>
      </c>
    </row>
    <row r="7" spans="1:21">
      <c r="D7" s="472" t="s">
        <v>58</v>
      </c>
      <c r="E7" s="472" t="s">
        <v>732</v>
      </c>
      <c r="F7" s="472" t="s">
        <v>733</v>
      </c>
      <c r="G7" s="472" t="s">
        <v>48</v>
      </c>
      <c r="U7" s="574"/>
    </row>
    <row r="8" spans="1:21">
      <c r="A8" s="473" t="s">
        <v>691</v>
      </c>
      <c r="B8" s="468" t="s">
        <v>692</v>
      </c>
      <c r="D8" s="472" t="s">
        <v>734</v>
      </c>
      <c r="E8" s="472" t="s">
        <v>734</v>
      </c>
      <c r="F8" s="472" t="s">
        <v>734</v>
      </c>
      <c r="G8" s="472" t="s">
        <v>735</v>
      </c>
      <c r="U8" s="574"/>
    </row>
    <row r="9" spans="1:21">
      <c r="B9" s="580"/>
      <c r="G9" s="573"/>
    </row>
    <row r="10" spans="1:21">
      <c r="A10" s="473">
        <v>1</v>
      </c>
      <c r="B10" s="473" t="s">
        <v>736</v>
      </c>
      <c r="D10" s="30">
        <f>+E70</f>
        <v>-5348195.9196760003</v>
      </c>
      <c r="E10" s="30">
        <f>+F70</f>
        <v>0</v>
      </c>
      <c r="F10" s="30">
        <f>+G70</f>
        <v>0</v>
      </c>
      <c r="G10" s="30"/>
      <c r="H10" s="473" t="s">
        <v>737</v>
      </c>
    </row>
    <row r="11" spans="1:21">
      <c r="A11" s="473">
        <f>+A10+1</f>
        <v>2</v>
      </c>
      <c r="B11" s="473" t="s">
        <v>738</v>
      </c>
      <c r="D11" s="30">
        <f>+E100</f>
        <v>-2960097.7625569953</v>
      </c>
      <c r="E11" s="30">
        <f>+F100</f>
        <v>0</v>
      </c>
      <c r="F11" s="30">
        <f>+G100</f>
        <v>0</v>
      </c>
      <c r="G11" s="30"/>
      <c r="H11" s="473" t="s">
        <v>739</v>
      </c>
    </row>
    <row r="12" spans="1:21">
      <c r="A12" s="473">
        <f t="shared" ref="A12:A75" si="0">+A11+1</f>
        <v>3</v>
      </c>
      <c r="B12" s="473" t="s">
        <v>699</v>
      </c>
      <c r="D12" s="30">
        <f>E41</f>
        <v>0</v>
      </c>
      <c r="E12" s="30">
        <f>F41</f>
        <v>0</v>
      </c>
      <c r="F12" s="30">
        <f>G41</f>
        <v>0</v>
      </c>
      <c r="G12" s="30"/>
      <c r="H12" s="473" t="s">
        <v>740</v>
      </c>
    </row>
    <row r="13" spans="1:21" ht="16.5" thickBot="1">
      <c r="A13" s="473">
        <f t="shared" si="0"/>
        <v>4</v>
      </c>
      <c r="B13" s="473" t="s">
        <v>741</v>
      </c>
      <c r="D13" s="30">
        <f>SUM(D10:D12)</f>
        <v>-8308293.6822329955</v>
      </c>
      <c r="E13" s="30">
        <f>SUM(E10:E12)</f>
        <v>0</v>
      </c>
      <c r="F13" s="30">
        <f>SUM(F10:F12)</f>
        <v>0</v>
      </c>
      <c r="G13" s="30"/>
      <c r="H13" s="582"/>
    </row>
    <row r="14" spans="1:21" ht="16.5" thickBot="1">
      <c r="A14" s="473">
        <f t="shared" si="0"/>
        <v>5</v>
      </c>
      <c r="B14" s="473" t="s">
        <v>742</v>
      </c>
      <c r="F14" s="593">
        <f>+'Appendix III'!J183</f>
        <v>1</v>
      </c>
      <c r="H14" s="473" t="s">
        <v>743</v>
      </c>
    </row>
    <row r="15" spans="1:21" ht="16.5" thickBot="1">
      <c r="A15" s="473">
        <f t="shared" si="0"/>
        <v>6</v>
      </c>
      <c r="B15" s="473" t="s">
        <v>744</v>
      </c>
      <c r="E15" s="594">
        <f>+'Appendix III'!H78</f>
        <v>1</v>
      </c>
      <c r="H15" s="473" t="s">
        <v>705</v>
      </c>
    </row>
    <row r="16" spans="1:21" ht="16.5" thickBot="1">
      <c r="A16" s="580" t="s">
        <v>18</v>
      </c>
      <c r="B16" s="584" t="s">
        <v>745</v>
      </c>
      <c r="D16" s="595">
        <v>1</v>
      </c>
      <c r="E16" s="583"/>
    </row>
    <row r="17" spans="1:8">
      <c r="A17" s="473">
        <f>+A15+1</f>
        <v>7</v>
      </c>
      <c r="B17" s="473" t="s">
        <v>746</v>
      </c>
      <c r="D17" s="30">
        <f>+D13*D16</f>
        <v>-8308293.6822329955</v>
      </c>
      <c r="E17" s="30">
        <f>+E15*E13</f>
        <v>0</v>
      </c>
      <c r="F17" s="30">
        <f>+F14*F13</f>
        <v>0</v>
      </c>
      <c r="G17" s="30">
        <f>+D17+E17+F17</f>
        <v>-8308293.6822329955</v>
      </c>
      <c r="H17" s="585"/>
    </row>
    <row r="18" spans="1:8">
      <c r="A18" s="473">
        <f t="shared" si="0"/>
        <v>8</v>
      </c>
      <c r="B18" s="473" t="str">
        <f>"End of year from Attachment 6b, line "&amp;'6b- ADIT'!A17&amp;""</f>
        <v>End of year from Attachment 6b, line 7</v>
      </c>
      <c r="D18" s="30">
        <f>+'6b- ADIT'!D17</f>
        <v>-8360851.573544357</v>
      </c>
      <c r="E18" s="30">
        <f>+'6b- ADIT'!E17</f>
        <v>0</v>
      </c>
      <c r="F18" s="30">
        <f>+'6b- ADIT'!F17</f>
        <v>0</v>
      </c>
      <c r="G18" s="30">
        <f>+D18+E18+F18</f>
        <v>-8360851.573544357</v>
      </c>
      <c r="H18" s="585"/>
    </row>
    <row r="19" spans="1:8">
      <c r="A19" s="473">
        <f t="shared" si="0"/>
        <v>9</v>
      </c>
      <c r="B19" s="473" t="s">
        <v>747</v>
      </c>
      <c r="D19" s="30">
        <f>+D17/2+D18/2</f>
        <v>-8334572.6278886758</v>
      </c>
      <c r="E19" s="30">
        <f>+E17/2+E18/2</f>
        <v>0</v>
      </c>
      <c r="F19" s="30">
        <f>+F17/2+F18/2</f>
        <v>0</v>
      </c>
      <c r="G19" s="30">
        <f>+D19+E19+F19</f>
        <v>-8334572.6278886758</v>
      </c>
      <c r="H19" s="585" t="str">
        <f>"Enter in Appendix III, line "&amp;'Appendix III'!A81&amp;"."</f>
        <v>Enter in Appendix III, line 17.</v>
      </c>
    </row>
    <row r="20" spans="1:8">
      <c r="A20" s="473">
        <f t="shared" si="0"/>
        <v>10</v>
      </c>
      <c r="B20" s="473"/>
      <c r="D20" s="582"/>
      <c r="H20" s="30"/>
    </row>
    <row r="21" spans="1:8">
      <c r="A21" s="473">
        <f t="shared" si="0"/>
        <v>11</v>
      </c>
      <c r="B21" s="473"/>
      <c r="H21" s="583"/>
    </row>
    <row r="22" spans="1:8">
      <c r="A22" s="473">
        <f t="shared" si="0"/>
        <v>12</v>
      </c>
      <c r="B22" s="468" t="s">
        <v>748</v>
      </c>
    </row>
    <row r="23" spans="1:8">
      <c r="A23" s="473">
        <f t="shared" si="0"/>
        <v>13</v>
      </c>
      <c r="B23" s="468" t="s">
        <v>749</v>
      </c>
    </row>
    <row r="24" spans="1:8">
      <c r="A24" s="473">
        <f t="shared" si="0"/>
        <v>14</v>
      </c>
      <c r="B24" s="472" t="s">
        <v>185</v>
      </c>
      <c r="C24" s="472" t="s">
        <v>187</v>
      </c>
      <c r="D24" s="472" t="s">
        <v>189</v>
      </c>
      <c r="E24" s="472" t="s">
        <v>192</v>
      </c>
      <c r="F24" s="472" t="s">
        <v>195</v>
      </c>
      <c r="G24" s="472" t="s">
        <v>197</v>
      </c>
      <c r="H24" s="472" t="s">
        <v>206</v>
      </c>
    </row>
    <row r="25" spans="1:8">
      <c r="A25" s="473">
        <f t="shared" si="0"/>
        <v>15</v>
      </c>
      <c r="C25" s="472" t="s">
        <v>48</v>
      </c>
      <c r="D25" s="472" t="s">
        <v>750</v>
      </c>
      <c r="E25" s="472"/>
      <c r="F25" s="472"/>
      <c r="G25" s="472"/>
    </row>
    <row r="26" spans="1:8">
      <c r="A26" s="473">
        <f t="shared" si="0"/>
        <v>16</v>
      </c>
      <c r="B26" s="468" t="s">
        <v>699</v>
      </c>
      <c r="C26" s="472"/>
      <c r="D26" s="472" t="s">
        <v>751</v>
      </c>
      <c r="E26" s="472" t="s">
        <v>58</v>
      </c>
      <c r="F26" s="472" t="s">
        <v>732</v>
      </c>
      <c r="G26" s="472" t="s">
        <v>733</v>
      </c>
    </row>
    <row r="27" spans="1:8">
      <c r="A27" s="473">
        <f t="shared" si="0"/>
        <v>17</v>
      </c>
      <c r="C27" s="472"/>
      <c r="D27" s="472" t="s">
        <v>734</v>
      </c>
      <c r="E27" s="472" t="s">
        <v>734</v>
      </c>
      <c r="F27" s="472" t="s">
        <v>734</v>
      </c>
      <c r="G27" s="472" t="s">
        <v>734</v>
      </c>
      <c r="H27" s="472" t="s">
        <v>752</v>
      </c>
    </row>
    <row r="28" spans="1:8">
      <c r="A28" s="473">
        <f t="shared" si="0"/>
        <v>18</v>
      </c>
      <c r="B28" s="596"/>
      <c r="C28" s="597"/>
      <c r="D28" s="598"/>
      <c r="E28" s="598"/>
      <c r="F28" s="598"/>
      <c r="G28" s="598"/>
      <c r="H28" s="599"/>
    </row>
    <row r="29" spans="1:8">
      <c r="A29" s="473">
        <f t="shared" si="0"/>
        <v>19</v>
      </c>
      <c r="B29" s="600"/>
      <c r="C29" s="597"/>
      <c r="D29" s="598"/>
      <c r="E29" s="598"/>
      <c r="F29" s="598"/>
      <c r="G29" s="598"/>
      <c r="H29" s="599"/>
    </row>
    <row r="30" spans="1:8">
      <c r="A30" s="473">
        <f t="shared" si="0"/>
        <v>20</v>
      </c>
      <c r="B30" s="600"/>
      <c r="C30" s="597"/>
      <c r="D30" s="598"/>
      <c r="E30" s="598"/>
      <c r="F30" s="598"/>
      <c r="G30" s="598"/>
      <c r="H30" s="599"/>
    </row>
    <row r="31" spans="1:8">
      <c r="A31" s="473">
        <f t="shared" si="0"/>
        <v>21</v>
      </c>
      <c r="B31" s="600"/>
      <c r="C31" s="597"/>
      <c r="D31" s="598"/>
      <c r="E31" s="598"/>
      <c r="F31" s="598"/>
      <c r="G31" s="598"/>
      <c r="H31" s="599"/>
    </row>
    <row r="32" spans="1:8">
      <c r="A32" s="473">
        <f t="shared" si="0"/>
        <v>22</v>
      </c>
      <c r="B32" s="600"/>
      <c r="C32" s="597"/>
      <c r="D32" s="598"/>
      <c r="E32" s="598"/>
      <c r="F32" s="598"/>
      <c r="G32" s="598"/>
      <c r="H32" s="599"/>
    </row>
    <row r="33" spans="1:8">
      <c r="A33" s="473">
        <f t="shared" si="0"/>
        <v>23</v>
      </c>
      <c r="B33" s="600"/>
      <c r="C33" s="597"/>
      <c r="D33" s="598"/>
      <c r="E33" s="598"/>
      <c r="F33" s="598"/>
      <c r="G33" s="598"/>
      <c r="H33" s="599"/>
    </row>
    <row r="34" spans="1:8">
      <c r="A34" s="473">
        <f t="shared" si="0"/>
        <v>24</v>
      </c>
      <c r="B34" s="600"/>
      <c r="C34" s="597"/>
      <c r="D34" s="598"/>
      <c r="E34" s="598"/>
      <c r="F34" s="598"/>
      <c r="G34" s="598"/>
      <c r="H34" s="599"/>
    </row>
    <row r="35" spans="1:8">
      <c r="A35" s="473">
        <f t="shared" si="0"/>
        <v>25</v>
      </c>
      <c r="B35" s="600"/>
      <c r="C35" s="597"/>
      <c r="D35" s="601"/>
      <c r="E35" s="598"/>
      <c r="F35" s="598"/>
      <c r="G35" s="598"/>
      <c r="H35" s="599"/>
    </row>
    <row r="36" spans="1:8">
      <c r="A36" s="473">
        <f t="shared" si="0"/>
        <v>26</v>
      </c>
      <c r="B36" s="600"/>
      <c r="C36" s="597"/>
      <c r="D36" s="598"/>
      <c r="E36" s="598"/>
      <c r="F36" s="598"/>
      <c r="G36" s="598"/>
      <c r="H36" s="599"/>
    </row>
    <row r="37" spans="1:8">
      <c r="A37" s="473">
        <f t="shared" si="0"/>
        <v>27</v>
      </c>
      <c r="B37" s="600"/>
      <c r="C37" s="597"/>
      <c r="D37" s="597"/>
      <c r="E37" s="597"/>
      <c r="F37" s="597"/>
      <c r="G37" s="597"/>
      <c r="H37" s="599"/>
    </row>
    <row r="38" spans="1:8">
      <c r="A38" s="473">
        <f t="shared" si="0"/>
        <v>28</v>
      </c>
      <c r="B38" s="602" t="s">
        <v>753</v>
      </c>
      <c r="C38" s="603">
        <f>SUBTOTAL(9,C28:C37)</f>
        <v>0</v>
      </c>
      <c r="D38" s="522">
        <f>SUM(D28:D37)</f>
        <v>0</v>
      </c>
      <c r="E38" s="522">
        <f>SUM(E28:E37)</f>
        <v>0</v>
      </c>
      <c r="F38" s="522">
        <f>SUM(F28:F37)</f>
        <v>0</v>
      </c>
      <c r="G38" s="522">
        <f>SUM(G28:G37)</f>
        <v>0</v>
      </c>
      <c r="H38" s="604"/>
    </row>
    <row r="39" spans="1:8">
      <c r="A39" s="473">
        <f t="shared" si="0"/>
        <v>29</v>
      </c>
      <c r="B39" s="605" t="s">
        <v>754</v>
      </c>
      <c r="C39" s="606"/>
      <c r="D39" s="606"/>
      <c r="E39" s="606"/>
      <c r="F39" s="607"/>
      <c r="G39" s="608"/>
      <c r="H39" s="599"/>
    </row>
    <row r="40" spans="1:8">
      <c r="A40" s="473">
        <f t="shared" si="0"/>
        <v>30</v>
      </c>
      <c r="B40" s="609" t="s">
        <v>755</v>
      </c>
      <c r="C40" s="610"/>
      <c r="D40" s="610"/>
      <c r="E40" s="610"/>
      <c r="F40" s="610"/>
      <c r="G40" s="610"/>
      <c r="H40" s="611"/>
    </row>
    <row r="41" spans="1:8" ht="16.5" thickBot="1">
      <c r="A41" s="473">
        <f t="shared" si="0"/>
        <v>31</v>
      </c>
      <c r="B41" s="612" t="s">
        <v>48</v>
      </c>
      <c r="C41" s="613">
        <f>+C38-C39-C40</f>
        <v>0</v>
      </c>
      <c r="D41" s="613">
        <f>+D38-D39-D40</f>
        <v>0</v>
      </c>
      <c r="E41" s="613">
        <f>+E38-E39-E40</f>
        <v>0</v>
      </c>
      <c r="F41" s="613">
        <f>+F38-F39-F40</f>
        <v>0</v>
      </c>
      <c r="G41" s="613">
        <f>+G38-G39-G40</f>
        <v>0</v>
      </c>
      <c r="H41" s="614"/>
    </row>
    <row r="42" spans="1:8" ht="16.5" thickTop="1">
      <c r="A42" s="473">
        <f t="shared" si="0"/>
        <v>32</v>
      </c>
      <c r="B42" s="473" t="s">
        <v>756</v>
      </c>
      <c r="C42" s="582"/>
      <c r="D42" s="615"/>
      <c r="E42" s="472"/>
      <c r="G42" s="616"/>
    </row>
    <row r="43" spans="1:8">
      <c r="A43" s="473">
        <f t="shared" si="0"/>
        <v>33</v>
      </c>
      <c r="B43" s="942" t="s">
        <v>757</v>
      </c>
      <c r="C43" s="942"/>
      <c r="D43" s="942"/>
      <c r="E43" s="942"/>
      <c r="F43" s="942"/>
      <c r="G43" s="942"/>
    </row>
    <row r="44" spans="1:8">
      <c r="A44" s="473">
        <f t="shared" si="0"/>
        <v>34</v>
      </c>
      <c r="B44" s="468" t="s">
        <v>758</v>
      </c>
      <c r="F44" s="472"/>
      <c r="G44" s="472"/>
    </row>
    <row r="45" spans="1:8">
      <c r="A45" s="473">
        <f t="shared" si="0"/>
        <v>35</v>
      </c>
      <c r="B45" s="468" t="s">
        <v>759</v>
      </c>
      <c r="F45" s="472"/>
      <c r="G45" s="472"/>
    </row>
    <row r="46" spans="1:8">
      <c r="A46" s="473">
        <f t="shared" si="0"/>
        <v>36</v>
      </c>
      <c r="B46" s="468" t="s">
        <v>760</v>
      </c>
      <c r="F46" s="472"/>
      <c r="G46" s="472"/>
    </row>
    <row r="47" spans="1:8">
      <c r="A47" s="473">
        <f t="shared" si="0"/>
        <v>37</v>
      </c>
      <c r="B47" s="942" t="s">
        <v>761</v>
      </c>
      <c r="C47" s="942"/>
      <c r="D47" s="942"/>
      <c r="E47" s="942"/>
      <c r="F47" s="942"/>
      <c r="G47" s="942"/>
      <c r="H47" s="617"/>
    </row>
    <row r="48" spans="1:8">
      <c r="A48" s="473">
        <f t="shared" si="0"/>
        <v>38</v>
      </c>
      <c r="B48" s="617"/>
      <c r="C48" s="617"/>
      <c r="D48" s="617"/>
      <c r="E48" s="617"/>
      <c r="F48" s="617"/>
      <c r="G48" s="617"/>
      <c r="H48" s="617"/>
    </row>
    <row r="49" spans="1:8" s="575" customFormat="1" ht="18">
      <c r="A49" s="473">
        <f t="shared" si="0"/>
        <v>39</v>
      </c>
      <c r="B49" s="943"/>
      <c r="C49" s="944"/>
      <c r="D49" s="944"/>
      <c r="E49" s="944"/>
      <c r="F49" s="944"/>
      <c r="G49" s="944"/>
      <c r="H49" s="944"/>
    </row>
    <row r="50" spans="1:8" s="575" customFormat="1" ht="18">
      <c r="A50" s="473"/>
      <c r="B50" s="922" t="s">
        <v>521</v>
      </c>
      <c r="C50" s="855"/>
      <c r="D50" s="855"/>
      <c r="E50" s="855"/>
      <c r="F50" s="855"/>
      <c r="G50" s="855"/>
      <c r="H50" s="855"/>
    </row>
    <row r="51" spans="1:8" s="575" customFormat="1" ht="18">
      <c r="A51" s="473">
        <f>+A49+1</f>
        <v>40</v>
      </c>
      <c r="B51" s="922" t="s">
        <v>731</v>
      </c>
      <c r="C51" s="922"/>
      <c r="D51" s="922"/>
      <c r="E51" s="922"/>
      <c r="F51" s="922"/>
      <c r="G51" s="922"/>
      <c r="H51" s="922"/>
    </row>
    <row r="52" spans="1:8" s="575" customFormat="1" ht="18">
      <c r="A52" s="473">
        <f t="shared" si="0"/>
        <v>41</v>
      </c>
      <c r="B52" s="922" t="s">
        <v>337</v>
      </c>
      <c r="C52" s="922"/>
      <c r="D52" s="922"/>
      <c r="E52" s="922"/>
      <c r="F52" s="922"/>
      <c r="G52" s="922"/>
      <c r="H52" s="922"/>
    </row>
    <row r="53" spans="1:8">
      <c r="A53" s="473">
        <f t="shared" si="0"/>
        <v>42</v>
      </c>
      <c r="B53" s="473"/>
    </row>
    <row r="54" spans="1:8">
      <c r="A54" s="473">
        <f t="shared" si="0"/>
        <v>43</v>
      </c>
      <c r="B54" s="472" t="s">
        <v>185</v>
      </c>
      <c r="C54" s="472" t="s">
        <v>187</v>
      </c>
      <c r="D54" s="472" t="s">
        <v>189</v>
      </c>
      <c r="E54" s="472" t="s">
        <v>192</v>
      </c>
      <c r="F54" s="472" t="s">
        <v>195</v>
      </c>
      <c r="G54" s="472" t="s">
        <v>197</v>
      </c>
      <c r="H54" s="472" t="s">
        <v>206</v>
      </c>
    </row>
    <row r="55" spans="1:8">
      <c r="A55" s="473">
        <f t="shared" si="0"/>
        <v>44</v>
      </c>
      <c r="B55" s="473"/>
      <c r="C55" s="472" t="s">
        <v>48</v>
      </c>
      <c r="D55" s="472" t="s">
        <v>750</v>
      </c>
      <c r="E55" s="472"/>
      <c r="F55" s="472"/>
      <c r="G55" s="472"/>
    </row>
    <row r="56" spans="1:8">
      <c r="A56" s="473">
        <f t="shared" si="0"/>
        <v>45</v>
      </c>
      <c r="B56" s="473" t="s">
        <v>762</v>
      </c>
      <c r="C56" s="472"/>
      <c r="D56" s="472" t="s">
        <v>751</v>
      </c>
      <c r="E56" s="472" t="s">
        <v>58</v>
      </c>
      <c r="F56" s="472" t="s">
        <v>732</v>
      </c>
      <c r="G56" s="472" t="s">
        <v>733</v>
      </c>
    </row>
    <row r="57" spans="1:8">
      <c r="A57" s="473">
        <f t="shared" si="0"/>
        <v>46</v>
      </c>
      <c r="C57" s="472"/>
      <c r="D57" s="472" t="s">
        <v>734</v>
      </c>
      <c r="E57" s="472" t="s">
        <v>734</v>
      </c>
      <c r="F57" s="472" t="s">
        <v>734</v>
      </c>
      <c r="G57" s="472" t="s">
        <v>734</v>
      </c>
      <c r="H57" s="472" t="s">
        <v>752</v>
      </c>
    </row>
    <row r="58" spans="1:8">
      <c r="A58" s="473">
        <f t="shared" si="0"/>
        <v>47</v>
      </c>
    </row>
    <row r="59" spans="1:8">
      <c r="A59" s="473">
        <f t="shared" si="0"/>
        <v>48</v>
      </c>
      <c r="B59" s="618" t="s">
        <v>763</v>
      </c>
      <c r="C59" s="597">
        <f>SUM(D59:G59)</f>
        <v>-5348195.9196760003</v>
      </c>
      <c r="D59" s="598"/>
      <c r="E59" s="598">
        <v>-5348195.9196760003</v>
      </c>
      <c r="F59" s="598"/>
      <c r="G59" s="598"/>
      <c r="H59" s="599" t="s">
        <v>764</v>
      </c>
    </row>
    <row r="60" spans="1:8">
      <c r="A60" s="473">
        <f t="shared" si="0"/>
        <v>49</v>
      </c>
      <c r="B60" s="600"/>
      <c r="C60" s="597"/>
      <c r="D60" s="598"/>
      <c r="E60" s="598"/>
      <c r="F60" s="598"/>
      <c r="G60" s="598"/>
      <c r="H60" s="599"/>
    </row>
    <row r="61" spans="1:8">
      <c r="A61" s="473">
        <f t="shared" si="0"/>
        <v>50</v>
      </c>
      <c r="B61" s="600"/>
      <c r="C61" s="597"/>
      <c r="D61" s="598"/>
      <c r="E61" s="598"/>
      <c r="F61" s="598"/>
      <c r="G61" s="598"/>
      <c r="H61" s="599"/>
    </row>
    <row r="62" spans="1:8">
      <c r="A62" s="473">
        <f t="shared" si="0"/>
        <v>51</v>
      </c>
      <c r="B62" s="600"/>
      <c r="C62" s="598"/>
      <c r="D62" s="598"/>
      <c r="E62" s="598"/>
      <c r="F62" s="598"/>
      <c r="G62" s="598"/>
      <c r="H62" s="599"/>
    </row>
    <row r="63" spans="1:8">
      <c r="A63" s="473">
        <f t="shared" si="0"/>
        <v>52</v>
      </c>
      <c r="B63" s="600"/>
      <c r="C63" s="598"/>
      <c r="D63" s="598"/>
      <c r="E63" s="598"/>
      <c r="F63" s="598"/>
      <c r="G63" s="598"/>
      <c r="H63" s="599"/>
    </row>
    <row r="64" spans="1:8">
      <c r="A64" s="473">
        <f t="shared" si="0"/>
        <v>53</v>
      </c>
      <c r="B64" s="619"/>
      <c r="C64" s="620"/>
      <c r="D64" s="620"/>
      <c r="E64" s="620"/>
      <c r="F64" s="620"/>
      <c r="G64" s="620"/>
      <c r="H64" s="599"/>
    </row>
    <row r="65" spans="1:8">
      <c r="A65" s="473">
        <f t="shared" si="0"/>
        <v>54</v>
      </c>
      <c r="B65" s="621"/>
      <c r="C65" s="620"/>
      <c r="D65" s="620"/>
      <c r="E65" s="620"/>
      <c r="F65" s="620"/>
      <c r="G65" s="620"/>
      <c r="H65" s="599"/>
    </row>
    <row r="66" spans="1:8">
      <c r="A66" s="473">
        <f t="shared" si="0"/>
        <v>55</v>
      </c>
      <c r="B66" s="621"/>
      <c r="C66" s="620"/>
      <c r="D66" s="620"/>
      <c r="E66" s="620"/>
      <c r="F66" s="620"/>
      <c r="G66" s="620"/>
      <c r="H66" s="599"/>
    </row>
    <row r="67" spans="1:8">
      <c r="A67" s="473">
        <f t="shared" si="0"/>
        <v>56</v>
      </c>
      <c r="B67" s="622" t="s">
        <v>765</v>
      </c>
      <c r="C67" s="522">
        <f>SUBTOTAL(9,C59:C66)</f>
        <v>-5348195.9196760003</v>
      </c>
      <c r="D67" s="522">
        <f>SUM(D59:D66)</f>
        <v>0</v>
      </c>
      <c r="E67" s="522">
        <f>SUM(E59:E66)</f>
        <v>-5348195.9196760003</v>
      </c>
      <c r="F67" s="522">
        <f>SUM(F59:F66)</f>
        <v>0</v>
      </c>
      <c r="G67" s="522">
        <f>SUM(G59:G66)</f>
        <v>0</v>
      </c>
      <c r="H67" s="604"/>
    </row>
    <row r="68" spans="1:8">
      <c r="A68" s="473">
        <f t="shared" si="0"/>
        <v>57</v>
      </c>
      <c r="B68" s="622" t="s">
        <v>754</v>
      </c>
      <c r="C68" s="606"/>
      <c r="D68" s="606"/>
      <c r="E68" s="606"/>
      <c r="F68" s="606"/>
      <c r="G68" s="606"/>
      <c r="H68" s="599"/>
    </row>
    <row r="69" spans="1:8">
      <c r="A69" s="473">
        <f t="shared" si="0"/>
        <v>58</v>
      </c>
      <c r="B69" s="623" t="s">
        <v>755</v>
      </c>
      <c r="C69" s="610"/>
      <c r="D69" s="610"/>
      <c r="E69" s="610"/>
      <c r="F69" s="610"/>
      <c r="G69" s="610"/>
      <c r="H69" s="611"/>
    </row>
    <row r="70" spans="1:8" ht="16.5" thickBot="1">
      <c r="A70" s="473">
        <f t="shared" si="0"/>
        <v>59</v>
      </c>
      <c r="B70" s="612" t="s">
        <v>48</v>
      </c>
      <c r="C70" s="613">
        <f>+C67-C68-C69</f>
        <v>-5348195.9196760003</v>
      </c>
      <c r="D70" s="613">
        <f>+D67-D68-D69</f>
        <v>0</v>
      </c>
      <c r="E70" s="613">
        <f>+E67-E68-E69</f>
        <v>-5348195.9196760003</v>
      </c>
      <c r="F70" s="613">
        <f>+F67-F68-F69</f>
        <v>0</v>
      </c>
      <c r="G70" s="613">
        <f>+G67-G68-G69</f>
        <v>0</v>
      </c>
      <c r="H70" s="614"/>
    </row>
    <row r="71" spans="1:8" ht="16.5" thickTop="1">
      <c r="A71" s="473">
        <f t="shared" si="0"/>
        <v>60</v>
      </c>
      <c r="E71" s="582"/>
      <c r="F71" s="472"/>
      <c r="G71" s="615"/>
      <c r="H71" s="617"/>
    </row>
    <row r="72" spans="1:8">
      <c r="A72" s="473">
        <f t="shared" si="0"/>
        <v>61</v>
      </c>
      <c r="B72" s="473" t="s">
        <v>766</v>
      </c>
      <c r="D72" s="472"/>
      <c r="E72" s="615"/>
      <c r="G72" s="617"/>
    </row>
    <row r="73" spans="1:8">
      <c r="A73" s="473">
        <f t="shared" si="0"/>
        <v>62</v>
      </c>
      <c r="B73" s="942" t="s">
        <v>757</v>
      </c>
      <c r="C73" s="942"/>
      <c r="D73" s="942"/>
      <c r="E73" s="942"/>
      <c r="F73" s="942"/>
      <c r="G73" s="942"/>
    </row>
    <row r="74" spans="1:8">
      <c r="A74" s="473">
        <f t="shared" si="0"/>
        <v>63</v>
      </c>
      <c r="B74" s="468" t="s">
        <v>758</v>
      </c>
      <c r="F74" s="472"/>
      <c r="G74" s="472"/>
    </row>
    <row r="75" spans="1:8">
      <c r="A75" s="473">
        <f t="shared" si="0"/>
        <v>64</v>
      </c>
      <c r="B75" s="468" t="s">
        <v>759</v>
      </c>
      <c r="F75" s="472"/>
      <c r="G75" s="472"/>
    </row>
    <row r="76" spans="1:8">
      <c r="A76" s="473">
        <f t="shared" ref="A76:A106" si="1">+A75+1</f>
        <v>65</v>
      </c>
      <c r="B76" s="468" t="s">
        <v>760</v>
      </c>
      <c r="F76" s="472"/>
      <c r="G76" s="472"/>
    </row>
    <row r="77" spans="1:8">
      <c r="A77" s="473">
        <f t="shared" si="1"/>
        <v>66</v>
      </c>
      <c r="B77" s="942" t="s">
        <v>761</v>
      </c>
      <c r="C77" s="942"/>
      <c r="D77" s="942"/>
      <c r="E77" s="942"/>
      <c r="F77" s="942"/>
      <c r="G77" s="942"/>
      <c r="H77" s="617"/>
    </row>
    <row r="78" spans="1:8" s="575" customFormat="1" ht="18">
      <c r="A78" s="473">
        <f t="shared" si="1"/>
        <v>67</v>
      </c>
      <c r="B78" s="943"/>
      <c r="C78" s="944"/>
      <c r="D78" s="944"/>
      <c r="E78" s="944"/>
      <c r="F78" s="944"/>
      <c r="G78" s="944"/>
      <c r="H78" s="944"/>
    </row>
    <row r="79" spans="1:8" s="575" customFormat="1" ht="18">
      <c r="A79" s="473"/>
      <c r="B79" s="922" t="s">
        <v>521</v>
      </c>
      <c r="C79" s="855"/>
      <c r="D79" s="855"/>
      <c r="E79" s="855"/>
      <c r="F79" s="855"/>
      <c r="G79" s="855"/>
      <c r="H79" s="855"/>
    </row>
    <row r="80" spans="1:8" s="575" customFormat="1" ht="18">
      <c r="A80" s="473">
        <f>+A78+1</f>
        <v>68</v>
      </c>
      <c r="B80" s="922" t="s">
        <v>731</v>
      </c>
      <c r="C80" s="922"/>
      <c r="D80" s="922"/>
      <c r="E80" s="922"/>
      <c r="F80" s="922"/>
      <c r="G80" s="922"/>
      <c r="H80" s="922"/>
    </row>
    <row r="81" spans="1:8" s="575" customFormat="1" ht="18">
      <c r="A81" s="473">
        <f t="shared" si="1"/>
        <v>69</v>
      </c>
      <c r="B81" s="922" t="s">
        <v>337</v>
      </c>
      <c r="C81" s="922"/>
      <c r="D81" s="922"/>
      <c r="E81" s="922"/>
      <c r="F81" s="922"/>
      <c r="G81" s="922"/>
      <c r="H81" s="922"/>
    </row>
    <row r="82" spans="1:8">
      <c r="A82" s="473">
        <f t="shared" si="1"/>
        <v>70</v>
      </c>
      <c r="H82" s="617"/>
    </row>
    <row r="83" spans="1:8">
      <c r="A83" s="473">
        <f t="shared" si="1"/>
        <v>71</v>
      </c>
      <c r="B83" s="472" t="s">
        <v>185</v>
      </c>
      <c r="C83" s="472" t="s">
        <v>187</v>
      </c>
      <c r="D83" s="472" t="s">
        <v>189</v>
      </c>
      <c r="E83" s="472" t="s">
        <v>192</v>
      </c>
      <c r="F83" s="472" t="s">
        <v>195</v>
      </c>
      <c r="G83" s="472" t="s">
        <v>197</v>
      </c>
      <c r="H83" s="472" t="s">
        <v>206</v>
      </c>
    </row>
    <row r="84" spans="1:8">
      <c r="A84" s="473">
        <f t="shared" si="1"/>
        <v>72</v>
      </c>
      <c r="B84" s="472"/>
      <c r="C84" s="472" t="s">
        <v>48</v>
      </c>
      <c r="D84" s="472" t="s">
        <v>750</v>
      </c>
      <c r="E84" s="472"/>
      <c r="F84" s="472"/>
      <c r="G84" s="472"/>
      <c r="H84" s="472"/>
    </row>
    <row r="85" spans="1:8">
      <c r="A85" s="473">
        <f t="shared" si="1"/>
        <v>73</v>
      </c>
      <c r="B85" s="473" t="s">
        <v>767</v>
      </c>
      <c r="C85" s="472"/>
      <c r="D85" s="472" t="s">
        <v>751</v>
      </c>
      <c r="E85" s="472" t="s">
        <v>58</v>
      </c>
      <c r="F85" s="472" t="s">
        <v>732</v>
      </c>
      <c r="G85" s="472" t="s">
        <v>733</v>
      </c>
      <c r="H85" s="472"/>
    </row>
    <row r="86" spans="1:8">
      <c r="A86" s="473">
        <f t="shared" si="1"/>
        <v>74</v>
      </c>
      <c r="B86" s="473"/>
      <c r="C86" s="472"/>
      <c r="D86" s="472" t="s">
        <v>734</v>
      </c>
      <c r="E86" s="472" t="s">
        <v>734</v>
      </c>
      <c r="F86" s="472" t="s">
        <v>734</v>
      </c>
      <c r="G86" s="472" t="s">
        <v>734</v>
      </c>
    </row>
    <row r="87" spans="1:8">
      <c r="A87" s="473">
        <f t="shared" si="1"/>
        <v>75</v>
      </c>
      <c r="B87" s="624" t="s">
        <v>768</v>
      </c>
      <c r="C87" s="597">
        <f>SUM(D87:G87)</f>
        <v>-2960097.7625569953</v>
      </c>
      <c r="D87" s="598"/>
      <c r="E87" s="598">
        <v>-2960097.7625569953</v>
      </c>
      <c r="F87" s="598"/>
      <c r="G87" s="598"/>
      <c r="H87" s="599"/>
    </row>
    <row r="88" spans="1:8">
      <c r="A88" s="473">
        <f t="shared" si="1"/>
        <v>76</v>
      </c>
      <c r="B88" s="600"/>
      <c r="C88" s="597"/>
      <c r="D88" s="598"/>
      <c r="E88" s="598"/>
      <c r="F88" s="598"/>
      <c r="G88" s="598"/>
      <c r="H88" s="599"/>
    </row>
    <row r="89" spans="1:8">
      <c r="A89" s="473">
        <f t="shared" si="1"/>
        <v>77</v>
      </c>
      <c r="B89" s="600"/>
      <c r="C89" s="597"/>
      <c r="D89" s="598"/>
      <c r="E89" s="598"/>
      <c r="F89" s="598"/>
      <c r="G89" s="598"/>
      <c r="H89" s="599"/>
    </row>
    <row r="90" spans="1:8">
      <c r="A90" s="473">
        <f t="shared" si="1"/>
        <v>78</v>
      </c>
      <c r="B90" s="600"/>
      <c r="C90" s="597"/>
      <c r="D90" s="598"/>
      <c r="E90" s="598"/>
      <c r="F90" s="598"/>
      <c r="G90" s="598"/>
      <c r="H90" s="599"/>
    </row>
    <row r="91" spans="1:8">
      <c r="A91" s="473">
        <f t="shared" si="1"/>
        <v>79</v>
      </c>
      <c r="B91" s="600"/>
      <c r="C91" s="598"/>
      <c r="D91" s="620"/>
      <c r="E91" s="598"/>
      <c r="F91" s="598"/>
      <c r="G91" s="598"/>
      <c r="H91" s="599"/>
    </row>
    <row r="92" spans="1:8">
      <c r="A92" s="473">
        <f t="shared" si="1"/>
        <v>80</v>
      </c>
      <c r="B92" s="600"/>
      <c r="C92" s="598"/>
      <c r="D92" s="620"/>
      <c r="E92" s="598"/>
      <c r="F92" s="598"/>
      <c r="G92" s="598"/>
      <c r="H92" s="599"/>
    </row>
    <row r="93" spans="1:8">
      <c r="A93" s="473">
        <f t="shared" si="1"/>
        <v>81</v>
      </c>
      <c r="B93" s="600"/>
      <c r="C93" s="598"/>
      <c r="D93" s="620"/>
      <c r="E93" s="598"/>
      <c r="F93" s="598"/>
      <c r="G93" s="598"/>
      <c r="H93" s="599"/>
    </row>
    <row r="94" spans="1:8">
      <c r="A94" s="473">
        <f t="shared" si="1"/>
        <v>82</v>
      </c>
      <c r="B94" s="600"/>
      <c r="C94" s="598"/>
      <c r="D94" s="601"/>
      <c r="E94" s="598"/>
      <c r="F94" s="598"/>
      <c r="G94" s="598"/>
      <c r="H94" s="599"/>
    </row>
    <row r="95" spans="1:8">
      <c r="A95" s="473">
        <f t="shared" si="1"/>
        <v>83</v>
      </c>
      <c r="B95" s="600"/>
      <c r="C95" s="598"/>
      <c r="D95" s="598"/>
      <c r="E95" s="598"/>
      <c r="F95" s="598"/>
      <c r="G95" s="598"/>
      <c r="H95" s="599"/>
    </row>
    <row r="96" spans="1:8">
      <c r="A96" s="473">
        <f t="shared" si="1"/>
        <v>84</v>
      </c>
      <c r="B96" s="600"/>
      <c r="C96" s="598"/>
      <c r="D96" s="598"/>
      <c r="E96" s="598"/>
      <c r="F96" s="598"/>
      <c r="G96" s="598"/>
      <c r="H96" s="599"/>
    </row>
    <row r="97" spans="1:8">
      <c r="A97" s="473">
        <f t="shared" si="1"/>
        <v>85</v>
      </c>
      <c r="B97" s="602" t="s">
        <v>769</v>
      </c>
      <c r="C97" s="603">
        <f>SUBTOTAL(9,C87:C96)</f>
        <v>-2960097.7625569953</v>
      </c>
      <c r="D97" s="603">
        <f>SUM(D87:D96)</f>
        <v>0</v>
      </c>
      <c r="E97" s="603">
        <f>SUM(E87:E96)</f>
        <v>-2960097.7625569953</v>
      </c>
      <c r="F97" s="603">
        <f>SUM(F87:F96)</f>
        <v>0</v>
      </c>
      <c r="G97" s="603">
        <f>SUM(G87:G96)</f>
        <v>0</v>
      </c>
      <c r="H97" s="599"/>
    </row>
    <row r="98" spans="1:8">
      <c r="A98" s="473">
        <f t="shared" si="1"/>
        <v>86</v>
      </c>
      <c r="B98" s="602" t="s">
        <v>754</v>
      </c>
      <c r="C98" s="607"/>
      <c r="D98" s="607"/>
      <c r="E98" s="607"/>
      <c r="F98" s="607"/>
      <c r="G98" s="607"/>
      <c r="H98" s="599"/>
    </row>
    <row r="99" spans="1:8">
      <c r="A99" s="473">
        <f t="shared" si="1"/>
        <v>87</v>
      </c>
      <c r="B99" s="625" t="s">
        <v>755</v>
      </c>
      <c r="C99" s="626"/>
      <c r="D99" s="626"/>
      <c r="E99" s="626"/>
      <c r="F99" s="626"/>
      <c r="G99" s="626"/>
      <c r="H99" s="611"/>
    </row>
    <row r="100" spans="1:8" ht="16.5" thickBot="1">
      <c r="A100" s="473">
        <f t="shared" si="1"/>
        <v>88</v>
      </c>
      <c r="B100" s="612" t="s">
        <v>48</v>
      </c>
      <c r="C100" s="627">
        <f>+C97-C98-C99</f>
        <v>-2960097.7625569953</v>
      </c>
      <c r="D100" s="627">
        <f>+D97-D98-D99</f>
        <v>0</v>
      </c>
      <c r="E100" s="627">
        <f>+E97-E98-E99</f>
        <v>-2960097.7625569953</v>
      </c>
      <c r="F100" s="627">
        <f>+F97-F98-F99</f>
        <v>0</v>
      </c>
      <c r="G100" s="627">
        <f>+G97-G98-G99</f>
        <v>0</v>
      </c>
      <c r="H100" s="614"/>
    </row>
    <row r="101" spans="1:8" ht="16.5" thickTop="1">
      <c r="A101" s="473">
        <f t="shared" si="1"/>
        <v>89</v>
      </c>
      <c r="B101" s="473" t="s">
        <v>770</v>
      </c>
      <c r="E101" s="472"/>
      <c r="F101" s="472"/>
      <c r="H101" s="628"/>
    </row>
    <row r="102" spans="1:8">
      <c r="A102" s="473">
        <f t="shared" si="1"/>
        <v>90</v>
      </c>
      <c r="B102" s="942" t="s">
        <v>757</v>
      </c>
      <c r="C102" s="942"/>
      <c r="D102" s="942"/>
      <c r="E102" s="942"/>
      <c r="F102" s="942"/>
      <c r="G102" s="942"/>
    </row>
    <row r="103" spans="1:8">
      <c r="A103" s="473">
        <f t="shared" si="1"/>
        <v>91</v>
      </c>
      <c r="B103" s="468" t="s">
        <v>758</v>
      </c>
      <c r="F103" s="472"/>
      <c r="G103" s="472"/>
    </row>
    <row r="104" spans="1:8">
      <c r="A104" s="473">
        <f t="shared" si="1"/>
        <v>92</v>
      </c>
      <c r="B104" s="468" t="s">
        <v>759</v>
      </c>
      <c r="F104" s="472"/>
      <c r="G104" s="472"/>
    </row>
    <row r="105" spans="1:8">
      <c r="A105" s="473">
        <f t="shared" si="1"/>
        <v>93</v>
      </c>
      <c r="B105" s="468" t="s">
        <v>760</v>
      </c>
      <c r="F105" s="472"/>
      <c r="G105" s="472"/>
    </row>
    <row r="106" spans="1:8">
      <c r="A106" s="473">
        <f t="shared" si="1"/>
        <v>94</v>
      </c>
      <c r="B106" s="942" t="s">
        <v>761</v>
      </c>
      <c r="C106" s="942"/>
      <c r="D106" s="942"/>
      <c r="E106" s="942"/>
      <c r="F106" s="942"/>
      <c r="G106" s="942"/>
    </row>
    <row r="108" spans="1:8" ht="15.75" customHeight="1">
      <c r="B108" s="629"/>
      <c r="C108" s="629"/>
      <c r="D108" s="629"/>
      <c r="E108" s="629"/>
      <c r="F108" s="629"/>
      <c r="G108" s="629"/>
      <c r="H108" s="629"/>
    </row>
    <row r="109" spans="1:8">
      <c r="B109" s="921"/>
      <c r="C109" s="921"/>
      <c r="D109" s="921"/>
      <c r="E109" s="921"/>
      <c r="F109" s="921"/>
      <c r="G109" s="921"/>
      <c r="H109" s="921"/>
    </row>
    <row r="110" spans="1:8">
      <c r="B110" s="473"/>
    </row>
    <row r="111" spans="1:8">
      <c r="B111" s="473"/>
    </row>
    <row r="112" spans="1:8" ht="15.75" customHeight="1">
      <c r="B112" s="473"/>
    </row>
    <row r="113" spans="2:9">
      <c r="B113" s="473"/>
      <c r="D113" s="630"/>
      <c r="E113" s="630"/>
      <c r="F113" s="630"/>
      <c r="G113" s="630"/>
      <c r="H113" s="630"/>
      <c r="I113" s="631"/>
    </row>
    <row r="114" spans="2:9">
      <c r="B114" s="473"/>
      <c r="D114" s="630"/>
      <c r="E114" s="630"/>
      <c r="F114" s="630"/>
      <c r="G114" s="630"/>
      <c r="H114" s="630"/>
      <c r="I114" s="631"/>
    </row>
    <row r="115" spans="2:9">
      <c r="D115" s="472"/>
      <c r="E115" s="472"/>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3"/>
      <c r="D126" s="380"/>
      <c r="E126" s="380"/>
    </row>
    <row r="127" spans="2:9">
      <c r="D127" s="380"/>
      <c r="E127" s="380"/>
    </row>
    <row r="128" spans="2:9">
      <c r="B128" s="473"/>
      <c r="D128" s="380"/>
      <c r="E128" s="380"/>
    </row>
    <row r="232" spans="9:9">
      <c r="I232" s="592"/>
    </row>
  </sheetData>
  <mergeCells count="19">
    <mergeCell ref="B109:H109"/>
    <mergeCell ref="B78:H78"/>
    <mergeCell ref="B79:H79"/>
    <mergeCell ref="B80:H80"/>
    <mergeCell ref="B81:H81"/>
    <mergeCell ref="B102:G102"/>
    <mergeCell ref="B106:G106"/>
    <mergeCell ref="B77:G77"/>
    <mergeCell ref="B1:H1"/>
    <mergeCell ref="B2:H2"/>
    <mergeCell ref="B3:H3"/>
    <mergeCell ref="B4:H4"/>
    <mergeCell ref="B43:G43"/>
    <mergeCell ref="B47:G47"/>
    <mergeCell ref="B49:H49"/>
    <mergeCell ref="B50:H50"/>
    <mergeCell ref="B51:H51"/>
    <mergeCell ref="B52:H52"/>
    <mergeCell ref="B73:G73"/>
  </mergeCells>
  <printOptions horizontalCentered="1"/>
  <pageMargins left="0.5" right="0.5" top="0.71" bottom="0.5" header="0.33" footer="0.5"/>
  <pageSetup scale="37" fitToHeight="4" orientation="landscape" r:id="rId1"/>
  <headerFooter alignWithMargins="0"/>
  <rowBreaks count="2" manualBreakCount="2">
    <brk id="48" max="7" man="1"/>
    <brk id="77" max="16383" man="1"/>
  </row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DDEB6-071B-4991-8C31-DC66D3B695AD}">
  <dimension ref="A1:U232"/>
  <sheetViews>
    <sheetView view="pageBreakPreview" topLeftCell="A24" zoomScale="70" zoomScaleNormal="50" zoomScaleSheetLayoutView="70" workbookViewId="0">
      <selection activeCell="E117" sqref="E117"/>
    </sheetView>
  </sheetViews>
  <sheetFormatPr defaultColWidth="8.88671875" defaultRowHeight="15.75"/>
  <cols>
    <col min="1" max="1" width="8.88671875" style="473"/>
    <col min="2" max="2" width="51.44140625" style="468" customWidth="1"/>
    <col min="3" max="3" width="8.88671875" style="473" bestFit="1" customWidth="1"/>
    <col min="4" max="4" width="10.88671875" style="473" bestFit="1" customWidth="1"/>
    <col min="5" max="5" width="9.5546875" style="473" bestFit="1" customWidth="1"/>
    <col min="6" max="6" width="5.88671875" style="473" bestFit="1" customWidth="1"/>
    <col min="7" max="7" width="15.21875" style="473" bestFit="1" customWidth="1"/>
    <col min="8" max="8" width="51.88671875" style="473" bestFit="1" customWidth="1"/>
    <col min="9" max="16384" width="8.88671875" style="573"/>
  </cols>
  <sheetData>
    <row r="1" spans="1:21" ht="18">
      <c r="B1" s="921" t="s">
        <v>771</v>
      </c>
      <c r="C1" s="921"/>
      <c r="D1" s="921"/>
      <c r="E1" s="921"/>
      <c r="F1" s="921"/>
      <c r="G1" s="921"/>
      <c r="H1" s="921"/>
      <c r="I1" s="575"/>
      <c r="J1" s="575"/>
    </row>
    <row r="2" spans="1:21" ht="18">
      <c r="B2" s="943"/>
      <c r="C2" s="944"/>
      <c r="D2" s="944"/>
      <c r="E2" s="944"/>
      <c r="F2" s="944"/>
      <c r="G2" s="944"/>
      <c r="H2" s="944"/>
      <c r="I2" s="575"/>
      <c r="J2" s="575"/>
    </row>
    <row r="3" spans="1:21" ht="18">
      <c r="B3" s="922" t="s">
        <v>521</v>
      </c>
      <c r="C3" s="923"/>
      <c r="D3" s="923"/>
      <c r="E3" s="923"/>
      <c r="F3" s="923"/>
      <c r="G3" s="923"/>
      <c r="H3" s="923"/>
      <c r="I3" s="575"/>
      <c r="J3" s="575"/>
    </row>
    <row r="4" spans="1:21" ht="18">
      <c r="B4" s="921" t="s">
        <v>338</v>
      </c>
      <c r="C4" s="921"/>
      <c r="D4" s="921"/>
      <c r="E4" s="921"/>
      <c r="F4" s="921"/>
      <c r="G4" s="921"/>
      <c r="H4" s="921"/>
      <c r="I4" s="575"/>
      <c r="J4" s="575"/>
    </row>
    <row r="5" spans="1:21" ht="18">
      <c r="I5" s="575"/>
      <c r="J5" s="575"/>
    </row>
    <row r="6" spans="1:21">
      <c r="B6" s="472" t="s">
        <v>185</v>
      </c>
      <c r="D6" s="472" t="s">
        <v>187</v>
      </c>
      <c r="E6" s="472" t="s">
        <v>189</v>
      </c>
      <c r="F6" s="472" t="s">
        <v>192</v>
      </c>
      <c r="G6" s="472" t="s">
        <v>195</v>
      </c>
    </row>
    <row r="7" spans="1:21">
      <c r="D7" s="472" t="s">
        <v>58</v>
      </c>
      <c r="E7" s="472" t="s">
        <v>732</v>
      </c>
      <c r="F7" s="472" t="s">
        <v>733</v>
      </c>
      <c r="G7" s="472" t="s">
        <v>48</v>
      </c>
      <c r="U7" s="574"/>
    </row>
    <row r="8" spans="1:21">
      <c r="A8" s="580" t="s">
        <v>691</v>
      </c>
      <c r="D8" s="472" t="s">
        <v>734</v>
      </c>
      <c r="E8" s="472" t="s">
        <v>734</v>
      </c>
      <c r="F8" s="472" t="s">
        <v>734</v>
      </c>
      <c r="G8" s="472" t="s">
        <v>735</v>
      </c>
      <c r="U8" s="574"/>
    </row>
    <row r="9" spans="1:21">
      <c r="A9" s="580"/>
    </row>
    <row r="10" spans="1:21">
      <c r="A10" s="580">
        <v>1</v>
      </c>
      <c r="B10" s="473" t="s">
        <v>736</v>
      </c>
      <c r="D10" s="149">
        <f>+E70</f>
        <v>-5679951.6729729641</v>
      </c>
      <c r="E10" s="149">
        <f>+F70</f>
        <v>0</v>
      </c>
      <c r="F10" s="149">
        <f>+G70</f>
        <v>0</v>
      </c>
      <c r="G10" s="149"/>
      <c r="H10" s="473" t="s">
        <v>737</v>
      </c>
    </row>
    <row r="11" spans="1:21">
      <c r="A11" s="580">
        <f>+A10+1</f>
        <v>2</v>
      </c>
      <c r="B11" s="473" t="s">
        <v>738</v>
      </c>
      <c r="D11" s="149">
        <f>+E100</f>
        <v>-2680899.9005713928</v>
      </c>
      <c r="E11" s="149">
        <f>+F100</f>
        <v>0</v>
      </c>
      <c r="F11" s="149">
        <f>+G100</f>
        <v>0</v>
      </c>
      <c r="G11" s="149"/>
      <c r="H11" s="473" t="s">
        <v>739</v>
      </c>
    </row>
    <row r="12" spans="1:21">
      <c r="A12" s="580">
        <f t="shared" ref="A12:A75" si="0">+A11+1</f>
        <v>3</v>
      </c>
      <c r="B12" s="473" t="s">
        <v>699</v>
      </c>
      <c r="D12" s="149">
        <f>E41</f>
        <v>0</v>
      </c>
      <c r="E12" s="149">
        <f>F41</f>
        <v>0</v>
      </c>
      <c r="F12" s="149">
        <f>G41</f>
        <v>0</v>
      </c>
      <c r="G12" s="149"/>
      <c r="H12" s="473" t="s">
        <v>740</v>
      </c>
    </row>
    <row r="13" spans="1:21" ht="16.5" thickBot="1">
      <c r="A13" s="580">
        <f t="shared" si="0"/>
        <v>4</v>
      </c>
      <c r="B13" s="473" t="s">
        <v>741</v>
      </c>
      <c r="D13" s="149">
        <f>SUM(D10:D12)</f>
        <v>-8360851.573544357</v>
      </c>
      <c r="E13" s="149">
        <f>SUM(E10:E12)</f>
        <v>0</v>
      </c>
      <c r="F13" s="149">
        <f>SUM(F10:F12)</f>
        <v>0</v>
      </c>
      <c r="G13" s="149"/>
      <c r="H13" s="582"/>
    </row>
    <row r="14" spans="1:21" ht="16.5" thickBot="1">
      <c r="A14" s="580">
        <f t="shared" si="0"/>
        <v>5</v>
      </c>
      <c r="B14" s="473" t="s">
        <v>742</v>
      </c>
      <c r="D14" s="149"/>
      <c r="E14" s="149"/>
      <c r="F14" s="593">
        <f>+'Appendix III'!J183</f>
        <v>1</v>
      </c>
      <c r="G14" s="149"/>
      <c r="H14" s="473" t="s">
        <v>743</v>
      </c>
    </row>
    <row r="15" spans="1:21" ht="16.5" thickBot="1">
      <c r="A15" s="580">
        <f t="shared" si="0"/>
        <v>6</v>
      </c>
      <c r="B15" s="473" t="s">
        <v>83</v>
      </c>
      <c r="C15" s="573"/>
      <c r="D15" s="149"/>
      <c r="E15" s="593">
        <f>+'Appendix III'!H78</f>
        <v>1</v>
      </c>
      <c r="F15" s="149"/>
      <c r="G15" s="149"/>
      <c r="H15" s="473" t="s">
        <v>705</v>
      </c>
    </row>
    <row r="16" spans="1:21" ht="16.5" thickBot="1">
      <c r="A16" s="580" t="s">
        <v>18</v>
      </c>
      <c r="B16" s="584">
        <v>1</v>
      </c>
      <c r="C16" s="573"/>
      <c r="D16" s="595">
        <v>1</v>
      </c>
      <c r="E16" s="149"/>
      <c r="F16" s="149"/>
      <c r="G16" s="149"/>
    </row>
    <row r="17" spans="1:8">
      <c r="A17" s="580">
        <f>+A15+1</f>
        <v>7</v>
      </c>
      <c r="B17" s="473" t="s">
        <v>772</v>
      </c>
      <c r="C17" s="573"/>
      <c r="D17" s="149">
        <f>+D13*D16</f>
        <v>-8360851.573544357</v>
      </c>
      <c r="E17" s="149">
        <f>+E13*E15</f>
        <v>0</v>
      </c>
      <c r="F17" s="149">
        <f>+F14*F13</f>
        <v>0</v>
      </c>
      <c r="G17" s="149">
        <f>+D17+E17+F17</f>
        <v>-8360851.573544357</v>
      </c>
      <c r="H17" s="585" t="s">
        <v>773</v>
      </c>
    </row>
    <row r="18" spans="1:8">
      <c r="A18" s="580">
        <f t="shared" si="0"/>
        <v>8</v>
      </c>
      <c r="D18" s="582"/>
      <c r="E18" s="582"/>
      <c r="F18" s="582"/>
      <c r="G18" s="582"/>
      <c r="H18" s="585"/>
    </row>
    <row r="19" spans="1:8">
      <c r="A19" s="580">
        <f t="shared" si="0"/>
        <v>9</v>
      </c>
      <c r="B19" s="473"/>
      <c r="H19" s="582"/>
    </row>
    <row r="20" spans="1:8">
      <c r="A20" s="580">
        <f t="shared" si="0"/>
        <v>10</v>
      </c>
      <c r="B20" s="473"/>
      <c r="D20" s="582"/>
      <c r="H20" s="30"/>
    </row>
    <row r="21" spans="1:8">
      <c r="A21" s="580">
        <f t="shared" si="0"/>
        <v>11</v>
      </c>
      <c r="B21" s="473"/>
      <c r="H21" s="583"/>
    </row>
    <row r="22" spans="1:8">
      <c r="A22" s="580">
        <f t="shared" si="0"/>
        <v>12</v>
      </c>
      <c r="B22" s="468" t="s">
        <v>748</v>
      </c>
    </row>
    <row r="23" spans="1:8">
      <c r="A23" s="580">
        <f t="shared" si="0"/>
        <v>13</v>
      </c>
      <c r="B23" s="468" t="s">
        <v>749</v>
      </c>
    </row>
    <row r="24" spans="1:8">
      <c r="A24" s="580">
        <f t="shared" si="0"/>
        <v>14</v>
      </c>
      <c r="B24" s="472" t="s">
        <v>185</v>
      </c>
      <c r="C24" s="472" t="s">
        <v>187</v>
      </c>
      <c r="D24" s="472" t="s">
        <v>189</v>
      </c>
      <c r="E24" s="472" t="s">
        <v>192</v>
      </c>
      <c r="F24" s="472" t="s">
        <v>195</v>
      </c>
      <c r="G24" s="472" t="s">
        <v>197</v>
      </c>
      <c r="H24" s="472" t="s">
        <v>206</v>
      </c>
    </row>
    <row r="25" spans="1:8">
      <c r="A25" s="580">
        <f t="shared" si="0"/>
        <v>15</v>
      </c>
      <c r="C25" s="472" t="s">
        <v>48</v>
      </c>
      <c r="D25" s="472" t="s">
        <v>750</v>
      </c>
      <c r="E25" s="472"/>
      <c r="F25" s="472"/>
      <c r="G25" s="472"/>
    </row>
    <row r="26" spans="1:8">
      <c r="A26" s="580">
        <f t="shared" si="0"/>
        <v>16</v>
      </c>
      <c r="B26" s="468" t="s">
        <v>699</v>
      </c>
      <c r="C26" s="472"/>
      <c r="D26" s="472" t="s">
        <v>751</v>
      </c>
      <c r="E26" s="472" t="s">
        <v>58</v>
      </c>
      <c r="F26" s="472" t="s">
        <v>732</v>
      </c>
      <c r="G26" s="472" t="s">
        <v>733</v>
      </c>
    </row>
    <row r="27" spans="1:8">
      <c r="A27" s="580">
        <f t="shared" si="0"/>
        <v>17</v>
      </c>
      <c r="C27" s="472"/>
      <c r="D27" s="472" t="s">
        <v>734</v>
      </c>
      <c r="E27" s="472" t="s">
        <v>734</v>
      </c>
      <c r="F27" s="472" t="s">
        <v>734</v>
      </c>
      <c r="G27" s="472" t="s">
        <v>734</v>
      </c>
      <c r="H27" s="472" t="s">
        <v>752</v>
      </c>
    </row>
    <row r="28" spans="1:8">
      <c r="A28" s="580">
        <f t="shared" si="0"/>
        <v>18</v>
      </c>
      <c r="B28" s="596"/>
      <c r="C28" s="597"/>
      <c r="D28" s="598"/>
      <c r="E28" s="598"/>
      <c r="F28" s="598"/>
      <c r="G28" s="598"/>
      <c r="H28" s="599"/>
    </row>
    <row r="29" spans="1:8">
      <c r="A29" s="580">
        <f t="shared" si="0"/>
        <v>19</v>
      </c>
      <c r="B29" s="600"/>
      <c r="C29" s="597"/>
      <c r="D29" s="598"/>
      <c r="E29" s="598"/>
      <c r="F29" s="598"/>
      <c r="G29" s="598"/>
      <c r="H29" s="599"/>
    </row>
    <row r="30" spans="1:8">
      <c r="A30" s="580">
        <f t="shared" si="0"/>
        <v>20</v>
      </c>
      <c r="B30" s="600"/>
      <c r="C30" s="597"/>
      <c r="D30" s="598"/>
      <c r="E30" s="598"/>
      <c r="F30" s="598"/>
      <c r="G30" s="598"/>
      <c r="H30" s="599"/>
    </row>
    <row r="31" spans="1:8">
      <c r="A31" s="580">
        <f t="shared" si="0"/>
        <v>21</v>
      </c>
      <c r="B31" s="600"/>
      <c r="C31" s="597"/>
      <c r="D31" s="598"/>
      <c r="E31" s="598"/>
      <c r="F31" s="598"/>
      <c r="G31" s="598"/>
      <c r="H31" s="599"/>
    </row>
    <row r="32" spans="1:8">
      <c r="A32" s="580">
        <f t="shared" si="0"/>
        <v>22</v>
      </c>
      <c r="B32" s="600"/>
      <c r="C32" s="597"/>
      <c r="D32" s="598"/>
      <c r="E32" s="598"/>
      <c r="F32" s="598"/>
      <c r="G32" s="598"/>
      <c r="H32" s="599"/>
    </row>
    <row r="33" spans="1:8">
      <c r="A33" s="580">
        <f t="shared" si="0"/>
        <v>23</v>
      </c>
      <c r="B33" s="600"/>
      <c r="C33" s="597"/>
      <c r="D33" s="598"/>
      <c r="E33" s="598"/>
      <c r="F33" s="598"/>
      <c r="G33" s="598"/>
      <c r="H33" s="599"/>
    </row>
    <row r="34" spans="1:8">
      <c r="A34" s="580">
        <f t="shared" si="0"/>
        <v>24</v>
      </c>
      <c r="B34" s="600"/>
      <c r="C34" s="597"/>
      <c r="D34" s="598"/>
      <c r="E34" s="598"/>
      <c r="F34" s="598"/>
      <c r="G34" s="598"/>
      <c r="H34" s="599"/>
    </row>
    <row r="35" spans="1:8">
      <c r="A35" s="580">
        <f t="shared" si="0"/>
        <v>25</v>
      </c>
      <c r="B35" s="600"/>
      <c r="C35" s="597"/>
      <c r="D35" s="601"/>
      <c r="E35" s="598"/>
      <c r="F35" s="598"/>
      <c r="G35" s="598"/>
      <c r="H35" s="599"/>
    </row>
    <row r="36" spans="1:8">
      <c r="A36" s="580">
        <f t="shared" si="0"/>
        <v>26</v>
      </c>
      <c r="B36" s="600"/>
      <c r="C36" s="597"/>
      <c r="D36" s="598"/>
      <c r="E36" s="598"/>
      <c r="F36" s="598"/>
      <c r="G36" s="598"/>
      <c r="H36" s="599"/>
    </row>
    <row r="37" spans="1:8">
      <c r="A37" s="580">
        <f t="shared" si="0"/>
        <v>27</v>
      </c>
      <c r="B37" s="600"/>
      <c r="C37" s="597"/>
      <c r="D37" s="597"/>
      <c r="E37" s="597"/>
      <c r="F37" s="597"/>
      <c r="G37" s="597"/>
      <c r="H37" s="599"/>
    </row>
    <row r="38" spans="1:8">
      <c r="A38" s="580">
        <f t="shared" si="0"/>
        <v>28</v>
      </c>
      <c r="B38" s="602" t="s">
        <v>774</v>
      </c>
      <c r="C38" s="603">
        <f>SUBTOTAL(9,C28:C37)</f>
        <v>0</v>
      </c>
      <c r="D38" s="522">
        <f>SUM(D28:D37)</f>
        <v>0</v>
      </c>
      <c r="E38" s="522">
        <f>SUM(E28:E37)</f>
        <v>0</v>
      </c>
      <c r="F38" s="522">
        <f>SUM(F28:F37)</f>
        <v>0</v>
      </c>
      <c r="G38" s="522">
        <f>SUM(G28:G37)</f>
        <v>0</v>
      </c>
      <c r="H38" s="604"/>
    </row>
    <row r="39" spans="1:8">
      <c r="A39" s="580">
        <f t="shared" si="0"/>
        <v>29</v>
      </c>
      <c r="B39" s="605" t="s">
        <v>754</v>
      </c>
      <c r="C39" s="606"/>
      <c r="D39" s="606"/>
      <c r="E39" s="606"/>
      <c r="F39" s="607"/>
      <c r="G39" s="608"/>
      <c r="H39" s="599"/>
    </row>
    <row r="40" spans="1:8">
      <c r="A40" s="580">
        <f t="shared" si="0"/>
        <v>30</v>
      </c>
      <c r="B40" s="609" t="s">
        <v>755</v>
      </c>
      <c r="C40" s="610"/>
      <c r="D40" s="610"/>
      <c r="E40" s="610"/>
      <c r="F40" s="610"/>
      <c r="G40" s="610"/>
      <c r="H40" s="611"/>
    </row>
    <row r="41" spans="1:8" ht="16.5" thickBot="1">
      <c r="A41" s="580">
        <f t="shared" si="0"/>
        <v>31</v>
      </c>
      <c r="B41" s="612" t="s">
        <v>48</v>
      </c>
      <c r="C41" s="613">
        <f>+C38-C39-C40</f>
        <v>0</v>
      </c>
      <c r="D41" s="613">
        <f>+D38-D39-D40</f>
        <v>0</v>
      </c>
      <c r="E41" s="613">
        <f>+E38-E39-E40</f>
        <v>0</v>
      </c>
      <c r="F41" s="613">
        <f>+F38-F39-F40</f>
        <v>0</v>
      </c>
      <c r="G41" s="613">
        <f>+G38-G39-G40</f>
        <v>0</v>
      </c>
      <c r="H41" s="614"/>
    </row>
    <row r="42" spans="1:8" ht="16.5" thickTop="1">
      <c r="A42" s="580">
        <f t="shared" si="0"/>
        <v>32</v>
      </c>
      <c r="B42" s="473" t="s">
        <v>756</v>
      </c>
      <c r="C42" s="582"/>
      <c r="D42" s="615"/>
      <c r="E42" s="472"/>
      <c r="G42" s="616"/>
    </row>
    <row r="43" spans="1:8">
      <c r="A43" s="580">
        <f t="shared" si="0"/>
        <v>33</v>
      </c>
      <c r="B43" s="942" t="s">
        <v>757</v>
      </c>
      <c r="C43" s="942"/>
      <c r="D43" s="942"/>
      <c r="E43" s="942"/>
      <c r="F43" s="942"/>
      <c r="G43" s="942"/>
    </row>
    <row r="44" spans="1:8">
      <c r="A44" s="580">
        <f t="shared" si="0"/>
        <v>34</v>
      </c>
      <c r="B44" s="468" t="s">
        <v>758</v>
      </c>
      <c r="F44" s="472"/>
      <c r="G44" s="472"/>
    </row>
    <row r="45" spans="1:8">
      <c r="A45" s="580">
        <f t="shared" si="0"/>
        <v>35</v>
      </c>
      <c r="B45" s="468" t="s">
        <v>759</v>
      </c>
      <c r="F45" s="472"/>
      <c r="G45" s="472"/>
    </row>
    <row r="46" spans="1:8">
      <c r="A46" s="580">
        <f t="shared" si="0"/>
        <v>36</v>
      </c>
      <c r="B46" s="468" t="s">
        <v>760</v>
      </c>
      <c r="F46" s="472"/>
      <c r="G46" s="472"/>
    </row>
    <row r="47" spans="1:8">
      <c r="A47" s="580">
        <f t="shared" si="0"/>
        <v>37</v>
      </c>
      <c r="B47" s="942" t="s">
        <v>775</v>
      </c>
      <c r="C47" s="942"/>
      <c r="D47" s="942"/>
      <c r="E47" s="942"/>
      <c r="F47" s="942"/>
      <c r="G47" s="942"/>
      <c r="H47" s="617"/>
    </row>
    <row r="48" spans="1:8">
      <c r="A48" s="580">
        <f t="shared" si="0"/>
        <v>38</v>
      </c>
      <c r="B48" s="617"/>
      <c r="C48" s="617"/>
      <c r="D48" s="617"/>
      <c r="E48" s="617"/>
      <c r="F48" s="617"/>
      <c r="G48" s="617"/>
      <c r="H48" s="617"/>
    </row>
    <row r="49" spans="1:8" s="575" customFormat="1" ht="18">
      <c r="A49" s="580">
        <f t="shared" si="0"/>
        <v>39</v>
      </c>
      <c r="B49" s="943"/>
      <c r="C49" s="944"/>
      <c r="D49" s="944"/>
      <c r="E49" s="944"/>
      <c r="F49" s="944"/>
      <c r="G49" s="944"/>
      <c r="H49" s="944"/>
    </row>
    <row r="50" spans="1:8" s="575" customFormat="1" ht="18">
      <c r="A50" s="580"/>
      <c r="B50" s="922" t="s">
        <v>521</v>
      </c>
      <c r="C50" s="855"/>
      <c r="D50" s="855"/>
      <c r="E50" s="855"/>
      <c r="F50" s="855"/>
      <c r="G50" s="855"/>
      <c r="H50" s="855"/>
    </row>
    <row r="51" spans="1:8" s="575" customFormat="1" ht="18">
      <c r="A51" s="580">
        <f>+A49+1</f>
        <v>40</v>
      </c>
      <c r="B51" s="922" t="s">
        <v>771</v>
      </c>
      <c r="C51" s="922"/>
      <c r="D51" s="922"/>
      <c r="E51" s="922"/>
      <c r="F51" s="922"/>
      <c r="G51" s="922"/>
      <c r="H51" s="922"/>
    </row>
    <row r="52" spans="1:8" s="575" customFormat="1" ht="18">
      <c r="A52" s="580">
        <f t="shared" si="0"/>
        <v>41</v>
      </c>
      <c r="B52" s="922" t="s">
        <v>338</v>
      </c>
      <c r="C52" s="922"/>
      <c r="D52" s="922"/>
      <c r="E52" s="922"/>
      <c r="F52" s="922"/>
      <c r="G52" s="922"/>
      <c r="H52" s="922"/>
    </row>
    <row r="53" spans="1:8">
      <c r="A53" s="580">
        <f t="shared" si="0"/>
        <v>42</v>
      </c>
      <c r="B53" s="473"/>
    </row>
    <row r="54" spans="1:8">
      <c r="A54" s="580">
        <f t="shared" si="0"/>
        <v>43</v>
      </c>
      <c r="B54" s="472" t="s">
        <v>185</v>
      </c>
      <c r="C54" s="472" t="s">
        <v>187</v>
      </c>
      <c r="D54" s="472" t="s">
        <v>189</v>
      </c>
      <c r="E54" s="472" t="s">
        <v>192</v>
      </c>
      <c r="F54" s="472" t="s">
        <v>195</v>
      </c>
      <c r="G54" s="472" t="s">
        <v>197</v>
      </c>
      <c r="H54" s="472" t="s">
        <v>206</v>
      </c>
    </row>
    <row r="55" spans="1:8">
      <c r="A55" s="580">
        <f t="shared" si="0"/>
        <v>44</v>
      </c>
      <c r="B55" s="473"/>
      <c r="C55" s="472" t="s">
        <v>48</v>
      </c>
      <c r="D55" s="472" t="s">
        <v>750</v>
      </c>
      <c r="E55" s="472"/>
      <c r="F55" s="472"/>
      <c r="G55" s="472"/>
    </row>
    <row r="56" spans="1:8">
      <c r="A56" s="580">
        <f t="shared" si="0"/>
        <v>45</v>
      </c>
      <c r="B56" s="473" t="s">
        <v>762</v>
      </c>
      <c r="C56" s="472"/>
      <c r="D56" s="472" t="s">
        <v>751</v>
      </c>
      <c r="E56" s="472" t="s">
        <v>58</v>
      </c>
      <c r="F56" s="472" t="s">
        <v>732</v>
      </c>
      <c r="G56" s="472" t="s">
        <v>733</v>
      </c>
    </row>
    <row r="57" spans="1:8">
      <c r="A57" s="580">
        <f t="shared" si="0"/>
        <v>46</v>
      </c>
      <c r="C57" s="472"/>
      <c r="D57" s="472" t="s">
        <v>734</v>
      </c>
      <c r="E57" s="472" t="s">
        <v>734</v>
      </c>
      <c r="F57" s="472" t="s">
        <v>734</v>
      </c>
      <c r="G57" s="472" t="s">
        <v>734</v>
      </c>
      <c r="H57" s="472" t="s">
        <v>752</v>
      </c>
    </row>
    <row r="58" spans="1:8" ht="31.5">
      <c r="A58" s="580">
        <f t="shared" si="0"/>
        <v>47</v>
      </c>
      <c r="B58" s="618" t="s">
        <v>763</v>
      </c>
      <c r="C58" s="597">
        <f>SUM(D58:G58)</f>
        <v>-5679951.6729729641</v>
      </c>
      <c r="D58" s="598"/>
      <c r="E58" s="598">
        <f>+'6b-ADIT Projection Proration'!H22</f>
        <v>-5679951.6729729641</v>
      </c>
      <c r="F58" s="598"/>
      <c r="G58" s="598"/>
      <c r="H58" s="599" t="s">
        <v>764</v>
      </c>
    </row>
    <row r="59" spans="1:8">
      <c r="A59" s="580">
        <f t="shared" si="0"/>
        <v>48</v>
      </c>
      <c r="B59" s="600"/>
      <c r="C59" s="597"/>
      <c r="D59" s="598"/>
      <c r="E59" s="598"/>
      <c r="F59" s="598"/>
      <c r="G59" s="598"/>
      <c r="H59" s="599"/>
    </row>
    <row r="60" spans="1:8">
      <c r="A60" s="580">
        <f t="shared" si="0"/>
        <v>49</v>
      </c>
      <c r="B60" s="600"/>
      <c r="C60" s="597"/>
      <c r="D60" s="598"/>
      <c r="E60" s="598"/>
      <c r="F60" s="598"/>
      <c r="G60" s="598"/>
      <c r="H60" s="599"/>
    </row>
    <row r="61" spans="1:8">
      <c r="A61" s="580">
        <f t="shared" si="0"/>
        <v>50</v>
      </c>
      <c r="B61" s="600"/>
      <c r="C61" s="597"/>
      <c r="D61" s="598"/>
      <c r="E61" s="598"/>
      <c r="F61" s="598"/>
      <c r="G61" s="598"/>
      <c r="H61" s="599"/>
    </row>
    <row r="62" spans="1:8">
      <c r="A62" s="580">
        <f t="shared" si="0"/>
        <v>51</v>
      </c>
      <c r="B62" s="600"/>
      <c r="C62" s="598"/>
      <c r="D62" s="598"/>
      <c r="E62" s="598"/>
      <c r="F62" s="598"/>
      <c r="G62" s="598"/>
      <c r="H62" s="599"/>
    </row>
    <row r="63" spans="1:8">
      <c r="A63" s="580">
        <f t="shared" si="0"/>
        <v>52</v>
      </c>
      <c r="B63" s="600"/>
      <c r="C63" s="598"/>
      <c r="D63" s="598"/>
      <c r="E63" s="598"/>
      <c r="F63" s="598"/>
      <c r="G63" s="598"/>
      <c r="H63" s="599"/>
    </row>
    <row r="64" spans="1:8">
      <c r="A64" s="580">
        <f t="shared" si="0"/>
        <v>53</v>
      </c>
      <c r="B64" s="619"/>
      <c r="C64" s="620"/>
      <c r="D64" s="620"/>
      <c r="E64" s="620"/>
      <c r="F64" s="620"/>
      <c r="G64" s="620"/>
      <c r="H64" s="599"/>
    </row>
    <row r="65" spans="1:8">
      <c r="A65" s="580">
        <f t="shared" si="0"/>
        <v>54</v>
      </c>
      <c r="B65" s="621"/>
      <c r="C65" s="620"/>
      <c r="D65" s="620"/>
      <c r="E65" s="620"/>
      <c r="F65" s="620"/>
      <c r="G65" s="620"/>
      <c r="H65" s="599"/>
    </row>
    <row r="66" spans="1:8">
      <c r="A66" s="580">
        <f t="shared" si="0"/>
        <v>55</v>
      </c>
      <c r="B66" s="621"/>
      <c r="C66" s="620"/>
      <c r="D66" s="620"/>
      <c r="E66" s="620"/>
      <c r="F66" s="620"/>
      <c r="G66" s="620"/>
      <c r="H66" s="599"/>
    </row>
    <row r="67" spans="1:8">
      <c r="A67" s="580">
        <f t="shared" si="0"/>
        <v>56</v>
      </c>
      <c r="B67" s="622" t="s">
        <v>776</v>
      </c>
      <c r="C67" s="522">
        <f>SUBTOTAL(9,C58:C66)</f>
        <v>-5679951.6729729641</v>
      </c>
      <c r="D67" s="522">
        <f>SUM(D58:D66)</f>
        <v>0</v>
      </c>
      <c r="E67" s="522">
        <f>SUM(E58:E66)</f>
        <v>-5679951.6729729641</v>
      </c>
      <c r="F67" s="522">
        <f>SUM(F58:F66)</f>
        <v>0</v>
      </c>
      <c r="G67" s="522">
        <f>SUM(G58:G66)</f>
        <v>0</v>
      </c>
      <c r="H67" s="604"/>
    </row>
    <row r="68" spans="1:8">
      <c r="A68" s="580">
        <f t="shared" si="0"/>
        <v>57</v>
      </c>
      <c r="B68" s="622" t="s">
        <v>754</v>
      </c>
      <c r="C68" s="606"/>
      <c r="D68" s="606"/>
      <c r="E68" s="606"/>
      <c r="F68" s="606"/>
      <c r="G68" s="606"/>
      <c r="H68" s="599"/>
    </row>
    <row r="69" spans="1:8">
      <c r="A69" s="580">
        <f t="shared" si="0"/>
        <v>58</v>
      </c>
      <c r="B69" s="623" t="s">
        <v>755</v>
      </c>
      <c r="C69" s="610"/>
      <c r="D69" s="610"/>
      <c r="E69" s="610"/>
      <c r="F69" s="610"/>
      <c r="G69" s="610"/>
      <c r="H69" s="611"/>
    </row>
    <row r="70" spans="1:8" ht="16.5" thickBot="1">
      <c r="A70" s="580">
        <f t="shared" si="0"/>
        <v>59</v>
      </c>
      <c r="B70" s="612" t="s">
        <v>48</v>
      </c>
      <c r="C70" s="613">
        <f>+C67-C68-C69</f>
        <v>-5679951.6729729641</v>
      </c>
      <c r="D70" s="613">
        <f>+D67-D68-D69</f>
        <v>0</v>
      </c>
      <c r="E70" s="613">
        <f>+E67-E68-E69</f>
        <v>-5679951.6729729641</v>
      </c>
      <c r="F70" s="613">
        <f>+F67-F68-F69</f>
        <v>0</v>
      </c>
      <c r="G70" s="613">
        <f>+G67-G68-G69</f>
        <v>0</v>
      </c>
      <c r="H70" s="614"/>
    </row>
    <row r="71" spans="1:8" ht="16.5" thickTop="1">
      <c r="A71" s="580">
        <f t="shared" si="0"/>
        <v>60</v>
      </c>
      <c r="E71" s="582"/>
      <c r="F71" s="472"/>
      <c r="G71" s="615"/>
      <c r="H71" s="617"/>
    </row>
    <row r="72" spans="1:8">
      <c r="A72" s="580">
        <f t="shared" si="0"/>
        <v>61</v>
      </c>
      <c r="B72" s="473" t="s">
        <v>766</v>
      </c>
      <c r="D72" s="472"/>
      <c r="E72" s="615"/>
      <c r="G72" s="617"/>
    </row>
    <row r="73" spans="1:8">
      <c r="A73" s="580">
        <f t="shared" si="0"/>
        <v>62</v>
      </c>
      <c r="B73" s="942" t="s">
        <v>757</v>
      </c>
      <c r="C73" s="942"/>
      <c r="D73" s="942"/>
      <c r="E73" s="942"/>
      <c r="F73" s="942"/>
      <c r="G73" s="942"/>
    </row>
    <row r="74" spans="1:8">
      <c r="A74" s="580">
        <f t="shared" si="0"/>
        <v>63</v>
      </c>
      <c r="B74" s="468" t="s">
        <v>758</v>
      </c>
      <c r="F74" s="472"/>
      <c r="G74" s="472"/>
    </row>
    <row r="75" spans="1:8">
      <c r="A75" s="580">
        <f t="shared" si="0"/>
        <v>64</v>
      </c>
      <c r="B75" s="468" t="s">
        <v>759</v>
      </c>
      <c r="F75" s="472"/>
      <c r="G75" s="472"/>
    </row>
    <row r="76" spans="1:8">
      <c r="A76" s="580">
        <f t="shared" ref="A76:A106" si="1">+A75+1</f>
        <v>65</v>
      </c>
      <c r="B76" s="468" t="s">
        <v>760</v>
      </c>
      <c r="F76" s="472"/>
      <c r="G76" s="472"/>
    </row>
    <row r="77" spans="1:8">
      <c r="A77" s="580">
        <f t="shared" si="1"/>
        <v>66</v>
      </c>
      <c r="B77" s="942" t="s">
        <v>761</v>
      </c>
      <c r="C77" s="942"/>
      <c r="D77" s="942"/>
      <c r="E77" s="942"/>
      <c r="F77" s="942"/>
      <c r="G77" s="942"/>
      <c r="H77" s="617"/>
    </row>
    <row r="78" spans="1:8" s="575" customFormat="1" ht="18">
      <c r="A78" s="580">
        <f t="shared" si="1"/>
        <v>67</v>
      </c>
      <c r="B78" s="943"/>
      <c r="C78" s="944"/>
      <c r="D78" s="944"/>
      <c r="E78" s="944"/>
      <c r="F78" s="944"/>
      <c r="G78" s="944"/>
      <c r="H78" s="944"/>
    </row>
    <row r="79" spans="1:8" s="575" customFormat="1" ht="18">
      <c r="A79" s="580"/>
      <c r="B79" s="922" t="s">
        <v>521</v>
      </c>
      <c r="C79" s="855"/>
      <c r="D79" s="855"/>
      <c r="E79" s="855"/>
      <c r="F79" s="855"/>
      <c r="G79" s="855"/>
      <c r="H79" s="855"/>
    </row>
    <row r="80" spans="1:8" s="575" customFormat="1" ht="18">
      <c r="A80" s="580">
        <f>+A78+1</f>
        <v>68</v>
      </c>
      <c r="B80" s="922" t="s">
        <v>771</v>
      </c>
      <c r="C80" s="922"/>
      <c r="D80" s="922"/>
      <c r="E80" s="922"/>
      <c r="F80" s="922"/>
      <c r="G80" s="922"/>
      <c r="H80" s="922"/>
    </row>
    <row r="81" spans="1:8" s="575" customFormat="1" ht="18">
      <c r="A81" s="580">
        <f t="shared" si="1"/>
        <v>69</v>
      </c>
      <c r="B81" s="922" t="s">
        <v>338</v>
      </c>
      <c r="C81" s="922"/>
      <c r="D81" s="922"/>
      <c r="E81" s="922"/>
      <c r="F81" s="922"/>
      <c r="G81" s="922"/>
      <c r="H81" s="922"/>
    </row>
    <row r="82" spans="1:8">
      <c r="A82" s="580">
        <f t="shared" si="1"/>
        <v>70</v>
      </c>
      <c r="H82" s="617"/>
    </row>
    <row r="83" spans="1:8">
      <c r="A83" s="580">
        <f t="shared" si="1"/>
        <v>71</v>
      </c>
      <c r="B83" s="472" t="s">
        <v>185</v>
      </c>
      <c r="C83" s="472" t="s">
        <v>187</v>
      </c>
      <c r="D83" s="472" t="s">
        <v>189</v>
      </c>
      <c r="E83" s="472" t="s">
        <v>192</v>
      </c>
      <c r="F83" s="472" t="s">
        <v>195</v>
      </c>
      <c r="G83" s="472" t="s">
        <v>197</v>
      </c>
      <c r="H83" s="472" t="s">
        <v>206</v>
      </c>
    </row>
    <row r="84" spans="1:8">
      <c r="A84" s="580">
        <f t="shared" si="1"/>
        <v>72</v>
      </c>
      <c r="B84" s="473"/>
      <c r="C84" s="472" t="s">
        <v>48</v>
      </c>
      <c r="D84" s="472" t="s">
        <v>750</v>
      </c>
      <c r="E84" s="472"/>
      <c r="F84" s="472"/>
      <c r="G84" s="472"/>
    </row>
    <row r="85" spans="1:8">
      <c r="A85" s="580">
        <f t="shared" si="1"/>
        <v>73</v>
      </c>
      <c r="B85" s="473" t="s">
        <v>767</v>
      </c>
      <c r="C85" s="472"/>
      <c r="D85" s="472" t="s">
        <v>751</v>
      </c>
      <c r="E85" s="472" t="s">
        <v>58</v>
      </c>
      <c r="F85" s="472" t="s">
        <v>732</v>
      </c>
      <c r="G85" s="472" t="s">
        <v>733</v>
      </c>
    </row>
    <row r="86" spans="1:8">
      <c r="A86" s="580">
        <f t="shared" si="1"/>
        <v>74</v>
      </c>
      <c r="B86" s="473"/>
      <c r="C86" s="472"/>
      <c r="D86" s="472" t="s">
        <v>734</v>
      </c>
      <c r="E86" s="472" t="s">
        <v>734</v>
      </c>
      <c r="F86" s="472" t="s">
        <v>734</v>
      </c>
      <c r="G86" s="472" t="s">
        <v>734</v>
      </c>
    </row>
    <row r="87" spans="1:8">
      <c r="A87" s="580">
        <f t="shared" si="1"/>
        <v>75</v>
      </c>
      <c r="B87" s="624" t="s">
        <v>768</v>
      </c>
      <c r="C87" s="597">
        <f>SUM(D87:G87)</f>
        <v>-2680899.9005713928</v>
      </c>
      <c r="D87" s="598"/>
      <c r="E87" s="598">
        <v>-2680899.9005713928</v>
      </c>
      <c r="F87" s="598"/>
      <c r="G87" s="598"/>
      <c r="H87" s="599"/>
    </row>
    <row r="88" spans="1:8">
      <c r="A88" s="580">
        <f t="shared" si="1"/>
        <v>76</v>
      </c>
      <c r="B88" s="600"/>
      <c r="C88" s="597"/>
      <c r="D88" s="598"/>
      <c r="E88" s="598"/>
      <c r="F88" s="598"/>
      <c r="G88" s="598"/>
      <c r="H88" s="599"/>
    </row>
    <row r="89" spans="1:8">
      <c r="A89" s="580">
        <f t="shared" si="1"/>
        <v>77</v>
      </c>
      <c r="B89" s="600"/>
      <c r="C89" s="597"/>
      <c r="D89" s="598"/>
      <c r="E89" s="598"/>
      <c r="F89" s="598"/>
      <c r="G89" s="598"/>
      <c r="H89" s="599"/>
    </row>
    <row r="90" spans="1:8">
      <c r="A90" s="580">
        <f t="shared" si="1"/>
        <v>78</v>
      </c>
      <c r="B90" s="600"/>
      <c r="C90" s="597"/>
      <c r="D90" s="598"/>
      <c r="E90" s="598"/>
      <c r="F90" s="598"/>
      <c r="G90" s="598"/>
      <c r="H90" s="599"/>
    </row>
    <row r="91" spans="1:8">
      <c r="A91" s="580">
        <f t="shared" si="1"/>
        <v>79</v>
      </c>
      <c r="B91" s="600"/>
      <c r="C91" s="598"/>
      <c r="D91" s="620"/>
      <c r="E91" s="598"/>
      <c r="F91" s="598"/>
      <c r="G91" s="598"/>
      <c r="H91" s="599"/>
    </row>
    <row r="92" spans="1:8">
      <c r="A92" s="580">
        <f t="shared" si="1"/>
        <v>80</v>
      </c>
      <c r="B92" s="600"/>
      <c r="C92" s="598"/>
      <c r="D92" s="620"/>
      <c r="E92" s="598"/>
      <c r="F92" s="598"/>
      <c r="G92" s="598"/>
      <c r="H92" s="599"/>
    </row>
    <row r="93" spans="1:8">
      <c r="A93" s="580">
        <f t="shared" si="1"/>
        <v>81</v>
      </c>
      <c r="B93" s="600"/>
      <c r="C93" s="598"/>
      <c r="D93" s="620"/>
      <c r="E93" s="598"/>
      <c r="F93" s="598"/>
      <c r="G93" s="598"/>
      <c r="H93" s="599"/>
    </row>
    <row r="94" spans="1:8">
      <c r="A94" s="580">
        <f t="shared" si="1"/>
        <v>82</v>
      </c>
      <c r="B94" s="600"/>
      <c r="C94" s="598"/>
      <c r="D94" s="601"/>
      <c r="E94" s="598"/>
      <c r="F94" s="598"/>
      <c r="G94" s="598"/>
      <c r="H94" s="599"/>
    </row>
    <row r="95" spans="1:8">
      <c r="A95" s="580">
        <f t="shared" si="1"/>
        <v>83</v>
      </c>
      <c r="B95" s="600"/>
      <c r="C95" s="598"/>
      <c r="D95" s="598"/>
      <c r="E95" s="598"/>
      <c r="F95" s="598"/>
      <c r="G95" s="598"/>
      <c r="H95" s="599"/>
    </row>
    <row r="96" spans="1:8">
      <c r="A96" s="580">
        <f t="shared" si="1"/>
        <v>84</v>
      </c>
      <c r="B96" s="600"/>
      <c r="C96" s="598"/>
      <c r="D96" s="598"/>
      <c r="E96" s="598"/>
      <c r="F96" s="598"/>
      <c r="G96" s="598"/>
      <c r="H96" s="599"/>
    </row>
    <row r="97" spans="1:8">
      <c r="A97" s="580">
        <f t="shared" si="1"/>
        <v>85</v>
      </c>
      <c r="B97" s="602" t="s">
        <v>777</v>
      </c>
      <c r="C97" s="603">
        <f>SUBTOTAL(9,C87:C96)</f>
        <v>-2680899.9005713928</v>
      </c>
      <c r="D97" s="603">
        <f>SUM(D87:D96)</f>
        <v>0</v>
      </c>
      <c r="E97" s="603">
        <f>SUM(E87:E96)</f>
        <v>-2680899.9005713928</v>
      </c>
      <c r="F97" s="603">
        <f>SUM(F87:F96)</f>
        <v>0</v>
      </c>
      <c r="G97" s="603">
        <f>SUM(G87:G96)</f>
        <v>0</v>
      </c>
      <c r="H97" s="599"/>
    </row>
    <row r="98" spans="1:8">
      <c r="A98" s="580">
        <f t="shared" si="1"/>
        <v>86</v>
      </c>
      <c r="B98" s="602" t="s">
        <v>754</v>
      </c>
      <c r="C98" s="607"/>
      <c r="D98" s="607"/>
      <c r="E98" s="607"/>
      <c r="F98" s="607"/>
      <c r="G98" s="607"/>
      <c r="H98" s="599"/>
    </row>
    <row r="99" spans="1:8">
      <c r="A99" s="580">
        <f t="shared" si="1"/>
        <v>87</v>
      </c>
      <c r="B99" s="625" t="s">
        <v>755</v>
      </c>
      <c r="C99" s="626"/>
      <c r="D99" s="626"/>
      <c r="E99" s="626"/>
      <c r="F99" s="626"/>
      <c r="G99" s="626"/>
      <c r="H99" s="611"/>
    </row>
    <row r="100" spans="1:8" ht="16.5" thickBot="1">
      <c r="A100" s="580">
        <f t="shared" si="1"/>
        <v>88</v>
      </c>
      <c r="B100" s="612" t="s">
        <v>48</v>
      </c>
      <c r="C100" s="627">
        <f>+C97-C98-C99</f>
        <v>-2680899.9005713928</v>
      </c>
      <c r="D100" s="627">
        <f>+D97-D98-D99</f>
        <v>0</v>
      </c>
      <c r="E100" s="627">
        <f>+E97-E98-E99</f>
        <v>-2680899.9005713928</v>
      </c>
      <c r="F100" s="627">
        <f>+F97-F98-F99</f>
        <v>0</v>
      </c>
      <c r="G100" s="627">
        <f>+G97-G98-G99</f>
        <v>0</v>
      </c>
      <c r="H100" s="614"/>
    </row>
    <row r="101" spans="1:8" ht="16.5" thickTop="1">
      <c r="A101" s="580">
        <f t="shared" si="1"/>
        <v>89</v>
      </c>
      <c r="B101" s="473" t="s">
        <v>770</v>
      </c>
      <c r="E101" s="472"/>
      <c r="F101" s="472"/>
      <c r="H101" s="628"/>
    </row>
    <row r="102" spans="1:8">
      <c r="A102" s="580">
        <f t="shared" si="1"/>
        <v>90</v>
      </c>
      <c r="B102" s="942" t="s">
        <v>757</v>
      </c>
      <c r="C102" s="942"/>
      <c r="D102" s="942"/>
      <c r="E102" s="942"/>
      <c r="F102" s="942"/>
      <c r="G102" s="942"/>
    </row>
    <row r="103" spans="1:8">
      <c r="A103" s="580">
        <f t="shared" si="1"/>
        <v>91</v>
      </c>
      <c r="B103" s="468" t="s">
        <v>758</v>
      </c>
      <c r="F103" s="472"/>
      <c r="G103" s="472"/>
    </row>
    <row r="104" spans="1:8">
      <c r="A104" s="580">
        <f t="shared" si="1"/>
        <v>92</v>
      </c>
      <c r="B104" s="468" t="s">
        <v>759</v>
      </c>
      <c r="F104" s="472"/>
      <c r="G104" s="472"/>
    </row>
    <row r="105" spans="1:8">
      <c r="A105" s="580">
        <f t="shared" si="1"/>
        <v>93</v>
      </c>
      <c r="B105" s="468" t="s">
        <v>760</v>
      </c>
      <c r="F105" s="472"/>
      <c r="G105" s="472"/>
    </row>
    <row r="106" spans="1:8">
      <c r="A106" s="580">
        <f t="shared" si="1"/>
        <v>94</v>
      </c>
      <c r="B106" s="942" t="s">
        <v>761</v>
      </c>
      <c r="C106" s="942"/>
      <c r="D106" s="942"/>
      <c r="E106" s="942"/>
      <c r="F106" s="942"/>
      <c r="G106" s="942"/>
    </row>
    <row r="108" spans="1:8" ht="15.75" customHeight="1">
      <c r="B108" s="629"/>
      <c r="C108" s="629"/>
      <c r="D108" s="629"/>
      <c r="E108" s="629"/>
      <c r="F108" s="629"/>
      <c r="G108" s="629"/>
      <c r="H108" s="629"/>
    </row>
    <row r="109" spans="1:8">
      <c r="B109" s="921"/>
      <c r="C109" s="921"/>
      <c r="D109" s="921"/>
      <c r="E109" s="921"/>
      <c r="F109" s="921"/>
      <c r="G109" s="921"/>
      <c r="H109" s="921"/>
    </row>
    <row r="110" spans="1:8">
      <c r="B110" s="473"/>
    </row>
    <row r="111" spans="1:8">
      <c r="B111" s="473"/>
    </row>
    <row r="112" spans="1:8" ht="15.75" customHeight="1">
      <c r="B112" s="473"/>
    </row>
    <row r="113" spans="2:9">
      <c r="B113" s="473"/>
      <c r="D113" s="630"/>
      <c r="E113" s="630"/>
      <c r="F113" s="630"/>
      <c r="G113" s="630"/>
      <c r="H113" s="630"/>
      <c r="I113" s="631"/>
    </row>
    <row r="114" spans="2:9">
      <c r="B114" s="473"/>
      <c r="D114" s="630"/>
      <c r="E114" s="630"/>
      <c r="F114" s="630"/>
      <c r="G114" s="630"/>
      <c r="H114" s="630"/>
      <c r="I114" s="631"/>
    </row>
    <row r="115" spans="2:9">
      <c r="D115" s="472"/>
      <c r="E115" s="472"/>
    </row>
    <row r="116" spans="2:9">
      <c r="D116" s="380"/>
      <c r="E116" s="380"/>
    </row>
    <row r="117" spans="2:9">
      <c r="D117" s="380"/>
      <c r="E117" s="380"/>
    </row>
    <row r="118" spans="2:9">
      <c r="D118" s="380"/>
      <c r="E118" s="380"/>
    </row>
    <row r="119" spans="2:9">
      <c r="D119" s="380"/>
      <c r="E119" s="380"/>
    </row>
    <row r="120" spans="2:9">
      <c r="D120" s="380"/>
      <c r="E120" s="380"/>
    </row>
    <row r="121" spans="2:9">
      <c r="D121" s="380"/>
      <c r="E121" s="380"/>
    </row>
    <row r="122" spans="2:9">
      <c r="D122" s="380"/>
      <c r="E122" s="380"/>
    </row>
    <row r="123" spans="2:9">
      <c r="D123" s="380"/>
      <c r="E123" s="380"/>
    </row>
    <row r="124" spans="2:9">
      <c r="D124" s="380"/>
      <c r="E124" s="380"/>
    </row>
    <row r="125" spans="2:9">
      <c r="D125" s="380"/>
      <c r="E125" s="380"/>
    </row>
    <row r="126" spans="2:9">
      <c r="B126" s="473"/>
      <c r="D126" s="380"/>
      <c r="E126" s="380"/>
    </row>
    <row r="127" spans="2:9">
      <c r="D127" s="380"/>
      <c r="E127" s="380"/>
    </row>
    <row r="128" spans="2:9">
      <c r="B128" s="473"/>
      <c r="D128" s="380"/>
      <c r="E128" s="380"/>
    </row>
    <row r="232" spans="9:9">
      <c r="I232" s="592"/>
    </row>
  </sheetData>
  <mergeCells count="19">
    <mergeCell ref="B109:H109"/>
    <mergeCell ref="B78:H78"/>
    <mergeCell ref="B79:H79"/>
    <mergeCell ref="B80:H80"/>
    <mergeCell ref="B81:H81"/>
    <mergeCell ref="B102:G102"/>
    <mergeCell ref="B106:G106"/>
    <mergeCell ref="B77:G77"/>
    <mergeCell ref="B1:H1"/>
    <mergeCell ref="B2:H2"/>
    <mergeCell ref="B3:H3"/>
    <mergeCell ref="B4:H4"/>
    <mergeCell ref="B43:G43"/>
    <mergeCell ref="B47:G47"/>
    <mergeCell ref="B49:H49"/>
    <mergeCell ref="B50:H50"/>
    <mergeCell ref="B51:H51"/>
    <mergeCell ref="B52:H52"/>
    <mergeCell ref="B73:G73"/>
  </mergeCells>
  <printOptions horizontalCentered="1"/>
  <pageMargins left="0.5" right="0.5" top="0.71" bottom="0.5" header="0.33" footer="0.5"/>
  <pageSetup scale="37" fitToHeight="3" orientation="landscape" r:id="rId1"/>
  <headerFooter alignWithMargins="0"/>
  <rowBreaks count="2" manualBreakCount="2">
    <brk id="48" max="7" man="1"/>
    <brk id="77" max="7"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895F-04DE-407E-BCE3-07BC2BC66195}">
  <dimension ref="A1:T178"/>
  <sheetViews>
    <sheetView view="pageBreakPreview" topLeftCell="A19" zoomScale="70" zoomScaleNormal="70" zoomScaleSheetLayoutView="70" workbookViewId="0">
      <selection activeCell="E117" sqref="E117"/>
    </sheetView>
  </sheetViews>
  <sheetFormatPr defaultColWidth="8.88671875" defaultRowHeight="15.75"/>
  <cols>
    <col min="1" max="1" width="5.5546875" style="473" customWidth="1"/>
    <col min="2" max="2" width="31" style="468" customWidth="1"/>
    <col min="3" max="3" width="10.5546875" style="473" bestFit="1" customWidth="1"/>
    <col min="4" max="4" width="9.88671875" style="473" bestFit="1" customWidth="1"/>
    <col min="5" max="5" width="10" style="473" bestFit="1" customWidth="1"/>
    <col min="6" max="6" width="14.88671875" style="473" customWidth="1"/>
    <col min="7" max="7" width="12" style="473" customWidth="1"/>
    <col min="8" max="8" width="11.88671875" style="473" customWidth="1"/>
    <col min="9" max="9" width="12" style="573" customWidth="1"/>
    <col min="10" max="10" width="15.88671875" style="573" customWidth="1"/>
    <col min="11" max="11" width="8.88671875" style="573"/>
    <col min="12" max="12" width="12" style="573" customWidth="1"/>
    <col min="13" max="13" width="44.88671875" style="573" customWidth="1"/>
    <col min="14" max="16384" width="8.88671875" style="573"/>
  </cols>
  <sheetData>
    <row r="1" spans="1:20" ht="18" customHeight="1">
      <c r="A1" s="921" t="s">
        <v>778</v>
      </c>
      <c r="B1" s="921"/>
      <c r="C1" s="921"/>
      <c r="D1" s="921"/>
      <c r="E1" s="921"/>
      <c r="F1" s="921"/>
      <c r="G1" s="921"/>
      <c r="H1" s="921"/>
      <c r="I1" s="921"/>
      <c r="J1" s="921"/>
      <c r="K1" s="921"/>
      <c r="L1" s="921"/>
    </row>
    <row r="2" spans="1:20" ht="18" customHeight="1">
      <c r="A2" s="922" t="str">
        <f>+'6a-ADIT Projection'!A2:I2</f>
        <v>Horizon West Transmission, LLC</v>
      </c>
      <c r="B2" s="922"/>
      <c r="C2" s="922"/>
      <c r="D2" s="922"/>
      <c r="E2" s="922"/>
      <c r="F2" s="922"/>
      <c r="G2" s="922"/>
      <c r="H2" s="922"/>
      <c r="I2" s="922"/>
      <c r="J2" s="922"/>
      <c r="K2" s="922"/>
      <c r="L2" s="922"/>
    </row>
    <row r="3" spans="1:20" ht="18" customHeight="1">
      <c r="A3" s="921" t="str">
        <f>'6a-ADIT Projection'!A3</f>
        <v>For the 12 months ended 12/31/2025</v>
      </c>
      <c r="B3" s="921"/>
      <c r="C3" s="921"/>
      <c r="D3" s="921"/>
      <c r="E3" s="921"/>
      <c r="F3" s="921"/>
      <c r="G3" s="921"/>
      <c r="H3" s="941"/>
      <c r="I3" s="921"/>
      <c r="J3" s="921"/>
      <c r="K3" s="921"/>
      <c r="L3" s="921"/>
    </row>
    <row r="4" spans="1:20" ht="18">
      <c r="I4" s="575"/>
      <c r="J4" s="575"/>
    </row>
    <row r="5" spans="1:20">
      <c r="D5" s="573"/>
      <c r="E5" s="573"/>
      <c r="F5" s="573"/>
      <c r="G5" s="573"/>
      <c r="H5" s="573"/>
      <c r="J5" s="473"/>
      <c r="T5" s="574"/>
    </row>
    <row r="6" spans="1:20">
      <c r="B6" s="472" t="s">
        <v>173</v>
      </c>
      <c r="C6" s="472" t="s">
        <v>367</v>
      </c>
      <c r="D6" s="472" t="s">
        <v>709</v>
      </c>
      <c r="E6" s="472" t="s">
        <v>710</v>
      </c>
      <c r="F6" s="472" t="s">
        <v>711</v>
      </c>
      <c r="G6" s="472" t="s">
        <v>712</v>
      </c>
      <c r="H6" s="472" t="s">
        <v>713</v>
      </c>
      <c r="I6" s="574" t="s">
        <v>779</v>
      </c>
      <c r="J6" s="574" t="s">
        <v>780</v>
      </c>
      <c r="K6" s="574" t="s">
        <v>781</v>
      </c>
      <c r="L6" s="574" t="s">
        <v>782</v>
      </c>
    </row>
    <row r="7" spans="1:20" ht="47.25">
      <c r="A7" s="586"/>
      <c r="B7" s="587" t="s">
        <v>714</v>
      </c>
      <c r="C7" s="587" t="s">
        <v>715</v>
      </c>
      <c r="D7" s="587" t="s">
        <v>291</v>
      </c>
      <c r="E7" s="587" t="s">
        <v>783</v>
      </c>
      <c r="F7" s="587" t="s">
        <v>784</v>
      </c>
      <c r="G7" s="587" t="s">
        <v>58</v>
      </c>
      <c r="H7" s="587" t="s">
        <v>785</v>
      </c>
      <c r="I7" s="587" t="s">
        <v>693</v>
      </c>
      <c r="J7" s="587" t="s">
        <v>786</v>
      </c>
      <c r="K7" s="587" t="s">
        <v>694</v>
      </c>
      <c r="L7" s="587" t="s">
        <v>787</v>
      </c>
      <c r="T7" s="574"/>
    </row>
    <row r="8" spans="1:20">
      <c r="A8" s="473" t="s">
        <v>788</v>
      </c>
      <c r="D8" s="472"/>
      <c r="E8" s="472"/>
      <c r="F8" s="472"/>
      <c r="G8" s="472"/>
      <c r="L8" s="632"/>
      <c r="T8" s="574"/>
    </row>
    <row r="9" spans="1:20" ht="20.25" customHeight="1">
      <c r="A9" s="580">
        <v>1</v>
      </c>
      <c r="B9" s="468" t="s">
        <v>789</v>
      </c>
      <c r="C9" s="473" t="s">
        <v>293</v>
      </c>
      <c r="D9" s="588">
        <v>2024</v>
      </c>
      <c r="E9" s="633">
        <f>365/365</f>
        <v>1</v>
      </c>
      <c r="F9" s="149">
        <f>'6c- ADIT BOY'!C54</f>
        <v>-5348195.9196760003</v>
      </c>
      <c r="G9" s="30">
        <f>'6c- ADIT BOY'!E54</f>
        <v>-5348195.9196760003</v>
      </c>
      <c r="H9" s="476">
        <f>E9*G9</f>
        <v>-5348195.9196760003</v>
      </c>
      <c r="I9" s="634">
        <f>'6c- ADIT BOY'!F54</f>
        <v>0</v>
      </c>
      <c r="J9" s="591">
        <f t="shared" ref="J9:J21" si="0">I9*E9</f>
        <v>0</v>
      </c>
      <c r="K9" s="634">
        <f>'6c- ADIT BOY'!G54</f>
        <v>0</v>
      </c>
      <c r="L9" s="591">
        <f t="shared" ref="L9:L21" si="1">E9*K9</f>
        <v>0</v>
      </c>
    </row>
    <row r="10" spans="1:20" ht="20.25" customHeight="1">
      <c r="A10" s="580">
        <f t="shared" ref="A10:A22" si="2">+A9+1</f>
        <v>2</v>
      </c>
      <c r="B10" s="468" t="s">
        <v>790</v>
      </c>
      <c r="C10" s="473" t="s">
        <v>295</v>
      </c>
      <c r="D10" s="588">
        <v>2025</v>
      </c>
      <c r="E10" s="633">
        <f>335/365</f>
        <v>0.9178082191780822</v>
      </c>
      <c r="F10" s="635">
        <f>+G10</f>
        <v>-59680.064047999993</v>
      </c>
      <c r="G10" s="523">
        <v>-59680.064047999993</v>
      </c>
      <c r="H10" s="476">
        <f t="shared" ref="H10:H21" si="3">E10*G10</f>
        <v>-54774.853304328761</v>
      </c>
      <c r="I10" s="636">
        <v>0</v>
      </c>
      <c r="J10" s="591">
        <f t="shared" si="0"/>
        <v>0</v>
      </c>
      <c r="K10" s="636">
        <v>0</v>
      </c>
      <c r="L10" s="591">
        <f t="shared" si="1"/>
        <v>0</v>
      </c>
    </row>
    <row r="11" spans="1:20" ht="20.25" customHeight="1">
      <c r="A11" s="580">
        <f t="shared" si="2"/>
        <v>3</v>
      </c>
      <c r="B11" s="468" t="s">
        <v>790</v>
      </c>
      <c r="C11" s="473" t="s">
        <v>297</v>
      </c>
      <c r="D11" s="588">
        <f>D10</f>
        <v>2025</v>
      </c>
      <c r="E11" s="633">
        <f>307/365</f>
        <v>0.84109589041095889</v>
      </c>
      <c r="F11" s="635">
        <f t="shared" ref="F11:F21" si="4">+G11</f>
        <v>-59680.064047999993</v>
      </c>
      <c r="G11" s="523">
        <f>$G$10</f>
        <v>-59680.064047999993</v>
      </c>
      <c r="H11" s="476">
        <f t="shared" si="3"/>
        <v>-50196.656610235608</v>
      </c>
      <c r="I11" s="636">
        <v>0</v>
      </c>
      <c r="J11" s="591">
        <f t="shared" si="0"/>
        <v>0</v>
      </c>
      <c r="K11" s="636">
        <v>0</v>
      </c>
      <c r="L11" s="591">
        <f t="shared" si="1"/>
        <v>0</v>
      </c>
    </row>
    <row r="12" spans="1:20" ht="20.25" customHeight="1">
      <c r="A12" s="580">
        <f t="shared" si="2"/>
        <v>4</v>
      </c>
      <c r="B12" s="468" t="s">
        <v>790</v>
      </c>
      <c r="C12" s="473" t="s">
        <v>298</v>
      </c>
      <c r="D12" s="588">
        <f t="shared" ref="D12:D21" si="5">D11</f>
        <v>2025</v>
      </c>
      <c r="E12" s="633">
        <f>276/365</f>
        <v>0.75616438356164384</v>
      </c>
      <c r="F12" s="635">
        <f t="shared" si="4"/>
        <v>-59680.064047999993</v>
      </c>
      <c r="G12" s="523">
        <f t="shared" ref="G12:G21" si="6">$G$10</f>
        <v>-59680.064047999993</v>
      </c>
      <c r="H12" s="476">
        <f t="shared" si="3"/>
        <v>-45127.938841775336</v>
      </c>
      <c r="I12" s="636">
        <v>0</v>
      </c>
      <c r="J12" s="591">
        <f t="shared" si="0"/>
        <v>0</v>
      </c>
      <c r="K12" s="636">
        <v>0</v>
      </c>
      <c r="L12" s="591">
        <f t="shared" si="1"/>
        <v>0</v>
      </c>
    </row>
    <row r="13" spans="1:20" ht="20.25" customHeight="1">
      <c r="A13" s="580">
        <f t="shared" si="2"/>
        <v>5</v>
      </c>
      <c r="B13" s="468" t="s">
        <v>790</v>
      </c>
      <c r="C13" s="473" t="s">
        <v>299</v>
      </c>
      <c r="D13" s="588">
        <f t="shared" si="5"/>
        <v>2025</v>
      </c>
      <c r="E13" s="633">
        <f>246/365</f>
        <v>0.67397260273972603</v>
      </c>
      <c r="F13" s="635">
        <f t="shared" si="4"/>
        <v>-59680.064047999993</v>
      </c>
      <c r="G13" s="523">
        <f t="shared" si="6"/>
        <v>-59680.064047999993</v>
      </c>
      <c r="H13" s="476">
        <f t="shared" si="3"/>
        <v>-40222.728098104104</v>
      </c>
      <c r="I13" s="636">
        <v>0</v>
      </c>
      <c r="J13" s="591">
        <f t="shared" si="0"/>
        <v>0</v>
      </c>
      <c r="K13" s="636">
        <v>0</v>
      </c>
      <c r="L13" s="591">
        <f t="shared" si="1"/>
        <v>0</v>
      </c>
    </row>
    <row r="14" spans="1:20" ht="20.25" customHeight="1">
      <c r="A14" s="580">
        <f t="shared" si="2"/>
        <v>6</v>
      </c>
      <c r="B14" s="468" t="s">
        <v>790</v>
      </c>
      <c r="C14" s="473" t="s">
        <v>300</v>
      </c>
      <c r="D14" s="588">
        <f t="shared" si="5"/>
        <v>2025</v>
      </c>
      <c r="E14" s="633">
        <f>215/365</f>
        <v>0.58904109589041098</v>
      </c>
      <c r="F14" s="635">
        <f t="shared" si="4"/>
        <v>-59680.064047999993</v>
      </c>
      <c r="G14" s="523">
        <f t="shared" si="6"/>
        <v>-59680.064047999993</v>
      </c>
      <c r="H14" s="476">
        <f t="shared" si="3"/>
        <v>-35154.010329643832</v>
      </c>
      <c r="I14" s="636">
        <v>0</v>
      </c>
      <c r="J14" s="591">
        <f t="shared" si="0"/>
        <v>0</v>
      </c>
      <c r="K14" s="636">
        <v>0</v>
      </c>
      <c r="L14" s="591">
        <f t="shared" si="1"/>
        <v>0</v>
      </c>
    </row>
    <row r="15" spans="1:20" ht="20.25" customHeight="1">
      <c r="A15" s="580">
        <f t="shared" si="2"/>
        <v>7</v>
      </c>
      <c r="B15" s="468" t="s">
        <v>790</v>
      </c>
      <c r="C15" s="473" t="s">
        <v>466</v>
      </c>
      <c r="D15" s="588">
        <f t="shared" si="5"/>
        <v>2025</v>
      </c>
      <c r="E15" s="633">
        <f>185/365</f>
        <v>0.50684931506849318</v>
      </c>
      <c r="F15" s="635">
        <f t="shared" si="4"/>
        <v>-59680.064047999993</v>
      </c>
      <c r="G15" s="523">
        <f t="shared" si="6"/>
        <v>-59680.064047999993</v>
      </c>
      <c r="H15" s="476">
        <f t="shared" si="3"/>
        <v>-30248.7995859726</v>
      </c>
      <c r="I15" s="636">
        <v>0</v>
      </c>
      <c r="J15" s="591">
        <f t="shared" si="0"/>
        <v>0</v>
      </c>
      <c r="K15" s="636">
        <v>0</v>
      </c>
      <c r="L15" s="591">
        <f t="shared" si="1"/>
        <v>0</v>
      </c>
    </row>
    <row r="16" spans="1:20" ht="20.25" customHeight="1">
      <c r="A16" s="580">
        <f t="shared" si="2"/>
        <v>8</v>
      </c>
      <c r="B16" s="468" t="s">
        <v>790</v>
      </c>
      <c r="C16" s="473" t="s">
        <v>302</v>
      </c>
      <c r="D16" s="588">
        <f t="shared" si="5"/>
        <v>2025</v>
      </c>
      <c r="E16" s="633">
        <f>154/365</f>
        <v>0.42191780821917807</v>
      </c>
      <c r="F16" s="635">
        <f t="shared" si="4"/>
        <v>-59680.064047999993</v>
      </c>
      <c r="G16" s="523">
        <f t="shared" si="6"/>
        <v>-59680.064047999993</v>
      </c>
      <c r="H16" s="476">
        <f t="shared" si="3"/>
        <v>-25180.081817512324</v>
      </c>
      <c r="I16" s="636">
        <v>0</v>
      </c>
      <c r="J16" s="591">
        <f t="shared" si="0"/>
        <v>0</v>
      </c>
      <c r="K16" s="636">
        <v>0</v>
      </c>
      <c r="L16" s="591">
        <f t="shared" si="1"/>
        <v>0</v>
      </c>
    </row>
    <row r="17" spans="1:20" ht="20.25" customHeight="1">
      <c r="A17" s="580">
        <f t="shared" si="2"/>
        <v>9</v>
      </c>
      <c r="B17" s="468" t="s">
        <v>790</v>
      </c>
      <c r="C17" s="473" t="s">
        <v>303</v>
      </c>
      <c r="D17" s="588">
        <f t="shared" si="5"/>
        <v>2025</v>
      </c>
      <c r="E17" s="633">
        <f>123/365</f>
        <v>0.33698630136986302</v>
      </c>
      <c r="F17" s="635">
        <f t="shared" si="4"/>
        <v>-59680.064047999993</v>
      </c>
      <c r="G17" s="523">
        <f t="shared" si="6"/>
        <v>-59680.064047999993</v>
      </c>
      <c r="H17" s="476">
        <f t="shared" si="3"/>
        <v>-20111.364049052052</v>
      </c>
      <c r="I17" s="636">
        <v>0</v>
      </c>
      <c r="J17" s="591">
        <f t="shared" si="0"/>
        <v>0</v>
      </c>
      <c r="K17" s="636">
        <v>0</v>
      </c>
      <c r="L17" s="591">
        <f t="shared" si="1"/>
        <v>0</v>
      </c>
    </row>
    <row r="18" spans="1:20" ht="20.25" customHeight="1">
      <c r="A18" s="580">
        <f t="shared" si="2"/>
        <v>10</v>
      </c>
      <c r="B18" s="468" t="s">
        <v>790</v>
      </c>
      <c r="C18" s="473" t="s">
        <v>304</v>
      </c>
      <c r="D18" s="588">
        <f t="shared" si="5"/>
        <v>2025</v>
      </c>
      <c r="E18" s="633">
        <f>93/365</f>
        <v>0.25479452054794521</v>
      </c>
      <c r="F18" s="635">
        <f t="shared" si="4"/>
        <v>-59680.064047999993</v>
      </c>
      <c r="G18" s="523">
        <f t="shared" si="6"/>
        <v>-59680.064047999993</v>
      </c>
      <c r="H18" s="476">
        <f t="shared" si="3"/>
        <v>-15206.15330538082</v>
      </c>
      <c r="I18" s="636">
        <v>0</v>
      </c>
      <c r="J18" s="591">
        <f t="shared" si="0"/>
        <v>0</v>
      </c>
      <c r="K18" s="636">
        <v>0</v>
      </c>
      <c r="L18" s="591">
        <f t="shared" si="1"/>
        <v>0</v>
      </c>
    </row>
    <row r="19" spans="1:20" ht="20.25" customHeight="1">
      <c r="A19" s="580">
        <f t="shared" si="2"/>
        <v>11</v>
      </c>
      <c r="B19" s="468" t="s">
        <v>790</v>
      </c>
      <c r="C19" s="473" t="s">
        <v>311</v>
      </c>
      <c r="D19" s="588">
        <f t="shared" si="5"/>
        <v>2025</v>
      </c>
      <c r="E19" s="633">
        <f>62/365</f>
        <v>0.16986301369863013</v>
      </c>
      <c r="F19" s="635">
        <f t="shared" si="4"/>
        <v>-59680.064047999993</v>
      </c>
      <c r="G19" s="523">
        <f t="shared" si="6"/>
        <v>-59680.064047999993</v>
      </c>
      <c r="H19" s="476">
        <f t="shared" si="3"/>
        <v>-10137.435536920546</v>
      </c>
      <c r="I19" s="636">
        <v>0</v>
      </c>
      <c r="J19" s="591">
        <f t="shared" si="0"/>
        <v>0</v>
      </c>
      <c r="K19" s="636">
        <v>0</v>
      </c>
      <c r="L19" s="591">
        <f t="shared" si="1"/>
        <v>0</v>
      </c>
    </row>
    <row r="20" spans="1:20" ht="20.25" customHeight="1">
      <c r="A20" s="580">
        <f t="shared" si="2"/>
        <v>12</v>
      </c>
      <c r="B20" s="468" t="s">
        <v>790</v>
      </c>
      <c r="C20" s="473" t="s">
        <v>306</v>
      </c>
      <c r="D20" s="588">
        <f t="shared" si="5"/>
        <v>2025</v>
      </c>
      <c r="E20" s="633">
        <f>32/365</f>
        <v>8.7671232876712329E-2</v>
      </c>
      <c r="F20" s="635">
        <f t="shared" si="4"/>
        <v>-59680.064047999993</v>
      </c>
      <c r="G20" s="523">
        <f t="shared" si="6"/>
        <v>-59680.064047999993</v>
      </c>
      <c r="H20" s="476">
        <f t="shared" si="3"/>
        <v>-5232.2247932493146</v>
      </c>
      <c r="I20" s="636">
        <v>0</v>
      </c>
      <c r="J20" s="591">
        <f t="shared" si="0"/>
        <v>0</v>
      </c>
      <c r="K20" s="636">
        <v>0</v>
      </c>
      <c r="L20" s="591">
        <f t="shared" si="1"/>
        <v>0</v>
      </c>
    </row>
    <row r="21" spans="1:20" ht="20.25" customHeight="1">
      <c r="A21" s="580">
        <f t="shared" si="2"/>
        <v>13</v>
      </c>
      <c r="B21" s="468" t="s">
        <v>790</v>
      </c>
      <c r="C21" s="473" t="s">
        <v>293</v>
      </c>
      <c r="D21" s="588">
        <f t="shared" si="5"/>
        <v>2025</v>
      </c>
      <c r="E21" s="633">
        <f>1/365</f>
        <v>2.7397260273972603E-3</v>
      </c>
      <c r="F21" s="635">
        <f t="shared" si="4"/>
        <v>-59680.064047999993</v>
      </c>
      <c r="G21" s="523">
        <f t="shared" si="6"/>
        <v>-59680.064047999993</v>
      </c>
      <c r="H21" s="476">
        <f t="shared" si="3"/>
        <v>-163.50702478904108</v>
      </c>
      <c r="I21" s="636">
        <v>0</v>
      </c>
      <c r="J21" s="591">
        <f t="shared" si="0"/>
        <v>0</v>
      </c>
      <c r="K21" s="636">
        <v>0</v>
      </c>
      <c r="L21" s="591">
        <f t="shared" si="1"/>
        <v>0</v>
      </c>
    </row>
    <row r="22" spans="1:20" ht="20.25" customHeight="1">
      <c r="A22" s="580">
        <f t="shared" si="2"/>
        <v>14</v>
      </c>
      <c r="B22" s="468" t="s">
        <v>791</v>
      </c>
      <c r="F22" s="476">
        <f t="shared" ref="F22:L22" si="7">SUM(F9:F21)</f>
        <v>-6064356.6882519964</v>
      </c>
      <c r="G22" s="476">
        <f>SUM(G9:G21)</f>
        <v>-6064356.6882519964</v>
      </c>
      <c r="H22" s="476">
        <f>SUM(H9:H21)</f>
        <v>-5679951.6729729641</v>
      </c>
      <c r="I22" s="591">
        <f t="shared" si="7"/>
        <v>0</v>
      </c>
      <c r="J22" s="591">
        <f t="shared" si="7"/>
        <v>0</v>
      </c>
      <c r="K22" s="591">
        <f t="shared" si="7"/>
        <v>0</v>
      </c>
      <c r="L22" s="591">
        <f t="shared" si="7"/>
        <v>0</v>
      </c>
    </row>
    <row r="23" spans="1:20">
      <c r="A23" s="580"/>
      <c r="H23" s="476"/>
    </row>
    <row r="24" spans="1:20">
      <c r="A24" s="473" t="s">
        <v>792</v>
      </c>
      <c r="D24" s="472"/>
      <c r="E24" s="472"/>
      <c r="F24" s="472"/>
      <c r="G24" s="472"/>
      <c r="T24" s="574"/>
    </row>
    <row r="25" spans="1:20" ht="20.25" customHeight="1">
      <c r="A25" s="580">
        <f>A22+1</f>
        <v>15</v>
      </c>
      <c r="B25" s="468" t="s">
        <v>793</v>
      </c>
      <c r="C25" s="473" t="s">
        <v>293</v>
      </c>
      <c r="D25" s="588">
        <f>D9</f>
        <v>2024</v>
      </c>
      <c r="E25" s="633">
        <f>365/365</f>
        <v>1</v>
      </c>
      <c r="F25" s="149">
        <f>'6c- ADIT BOY'!C78</f>
        <v>-2960097.7625569953</v>
      </c>
      <c r="G25" s="149">
        <f>'6c- ADIT BOY'!E78</f>
        <v>-2960097.7625569953</v>
      </c>
      <c r="H25" s="583">
        <f t="shared" ref="H25" si="8">E25*G25</f>
        <v>-2960097.7625569953</v>
      </c>
      <c r="I25" s="634">
        <f>'6c- ADIT BOY'!F78</f>
        <v>0</v>
      </c>
      <c r="J25" s="591">
        <f t="shared" ref="J25:J37" si="9">I25*E25</f>
        <v>0</v>
      </c>
      <c r="K25" s="634">
        <f>'6c- ADIT BOY'!G78</f>
        <v>0</v>
      </c>
      <c r="L25" s="591">
        <f t="shared" ref="L25:L37" si="10">E25*K25</f>
        <v>0</v>
      </c>
    </row>
    <row r="26" spans="1:20" ht="20.25" customHeight="1">
      <c r="A26" s="580">
        <f t="shared" ref="A26:A38" si="11">+A25+1</f>
        <v>16</v>
      </c>
      <c r="B26" s="468" t="s">
        <v>790</v>
      </c>
      <c r="C26" s="473" t="s">
        <v>295</v>
      </c>
      <c r="D26" s="588">
        <f t="shared" ref="D26:D37" si="12">D10</f>
        <v>2025</v>
      </c>
      <c r="E26" s="633">
        <f>335/365</f>
        <v>0.9178082191780822</v>
      </c>
      <c r="F26" s="175">
        <f>+G26</f>
        <v>23266.488498800205</v>
      </c>
      <c r="G26" s="175">
        <v>23266.488498800205</v>
      </c>
      <c r="H26" s="583"/>
      <c r="I26" s="636">
        <v>0</v>
      </c>
      <c r="J26" s="591">
        <f t="shared" si="9"/>
        <v>0</v>
      </c>
      <c r="K26" s="636">
        <v>0</v>
      </c>
      <c r="L26" s="591">
        <f t="shared" si="10"/>
        <v>0</v>
      </c>
    </row>
    <row r="27" spans="1:20" ht="20.25" customHeight="1">
      <c r="A27" s="580">
        <f t="shared" si="11"/>
        <v>17</v>
      </c>
      <c r="B27" s="468" t="s">
        <v>790</v>
      </c>
      <c r="C27" s="473" t="s">
        <v>297</v>
      </c>
      <c r="D27" s="588">
        <f t="shared" si="12"/>
        <v>2025</v>
      </c>
      <c r="E27" s="633">
        <f>307/365</f>
        <v>0.84109589041095889</v>
      </c>
      <c r="F27" s="175">
        <f t="shared" ref="F27:F37" si="13">+G27</f>
        <v>23266.488498800205</v>
      </c>
      <c r="G27" s="175">
        <f>G$26</f>
        <v>23266.488498800205</v>
      </c>
      <c r="H27" s="583"/>
      <c r="I27" s="636">
        <v>0</v>
      </c>
      <c r="J27" s="591">
        <f t="shared" si="9"/>
        <v>0</v>
      </c>
      <c r="K27" s="636">
        <v>0</v>
      </c>
      <c r="L27" s="591">
        <f t="shared" si="10"/>
        <v>0</v>
      </c>
    </row>
    <row r="28" spans="1:20" ht="20.25" customHeight="1">
      <c r="A28" s="580">
        <f t="shared" si="11"/>
        <v>18</v>
      </c>
      <c r="B28" s="468" t="s">
        <v>790</v>
      </c>
      <c r="C28" s="473" t="s">
        <v>298</v>
      </c>
      <c r="D28" s="588">
        <f t="shared" si="12"/>
        <v>2025</v>
      </c>
      <c r="E28" s="633">
        <f>276/365</f>
        <v>0.75616438356164384</v>
      </c>
      <c r="F28" s="175">
        <f t="shared" si="13"/>
        <v>23266.488498800205</v>
      </c>
      <c r="G28" s="175">
        <f>G$26</f>
        <v>23266.488498800205</v>
      </c>
      <c r="H28" s="583"/>
      <c r="I28" s="636">
        <v>0</v>
      </c>
      <c r="J28" s="591">
        <f t="shared" si="9"/>
        <v>0</v>
      </c>
      <c r="K28" s="636">
        <v>0</v>
      </c>
      <c r="L28" s="591">
        <f t="shared" si="10"/>
        <v>0</v>
      </c>
    </row>
    <row r="29" spans="1:20" ht="20.25" customHeight="1">
      <c r="A29" s="580">
        <f t="shared" si="11"/>
        <v>19</v>
      </c>
      <c r="B29" s="468" t="s">
        <v>790</v>
      </c>
      <c r="C29" s="473" t="s">
        <v>299</v>
      </c>
      <c r="D29" s="588">
        <f t="shared" si="12"/>
        <v>2025</v>
      </c>
      <c r="E29" s="633">
        <f>246/365</f>
        <v>0.67397260273972603</v>
      </c>
      <c r="F29" s="175">
        <f t="shared" si="13"/>
        <v>23266.488498800205</v>
      </c>
      <c r="G29" s="175">
        <f t="shared" ref="G29:G37" si="14">G$26</f>
        <v>23266.488498800205</v>
      </c>
      <c r="H29" s="583"/>
      <c r="I29" s="636">
        <v>0</v>
      </c>
      <c r="J29" s="591">
        <f t="shared" si="9"/>
        <v>0</v>
      </c>
      <c r="K29" s="636">
        <v>0</v>
      </c>
      <c r="L29" s="591">
        <f t="shared" si="10"/>
        <v>0</v>
      </c>
    </row>
    <row r="30" spans="1:20" ht="20.25" customHeight="1">
      <c r="A30" s="580">
        <f t="shared" si="11"/>
        <v>20</v>
      </c>
      <c r="B30" s="468" t="s">
        <v>790</v>
      </c>
      <c r="C30" s="473" t="s">
        <v>300</v>
      </c>
      <c r="D30" s="588">
        <f t="shared" si="12"/>
        <v>2025</v>
      </c>
      <c r="E30" s="633">
        <f>215/365</f>
        <v>0.58904109589041098</v>
      </c>
      <c r="F30" s="175">
        <f t="shared" si="13"/>
        <v>23266.488498800205</v>
      </c>
      <c r="G30" s="175">
        <f t="shared" si="14"/>
        <v>23266.488498800205</v>
      </c>
      <c r="H30" s="583"/>
      <c r="I30" s="636">
        <v>0</v>
      </c>
      <c r="J30" s="591">
        <f t="shared" si="9"/>
        <v>0</v>
      </c>
      <c r="K30" s="636">
        <v>0</v>
      </c>
      <c r="L30" s="591">
        <f t="shared" si="10"/>
        <v>0</v>
      </c>
    </row>
    <row r="31" spans="1:20" ht="20.25" customHeight="1">
      <c r="A31" s="580">
        <f t="shared" si="11"/>
        <v>21</v>
      </c>
      <c r="B31" s="468" t="s">
        <v>790</v>
      </c>
      <c r="C31" s="473" t="s">
        <v>466</v>
      </c>
      <c r="D31" s="588">
        <f t="shared" si="12"/>
        <v>2025</v>
      </c>
      <c r="E31" s="633">
        <f>185/365</f>
        <v>0.50684931506849318</v>
      </c>
      <c r="F31" s="175">
        <f t="shared" si="13"/>
        <v>23266.488498800205</v>
      </c>
      <c r="G31" s="175">
        <f t="shared" si="14"/>
        <v>23266.488498800205</v>
      </c>
      <c r="H31" s="583"/>
      <c r="I31" s="636">
        <v>0</v>
      </c>
      <c r="J31" s="591">
        <f t="shared" si="9"/>
        <v>0</v>
      </c>
      <c r="K31" s="636">
        <v>0</v>
      </c>
      <c r="L31" s="591">
        <f t="shared" si="10"/>
        <v>0</v>
      </c>
    </row>
    <row r="32" spans="1:20" ht="20.25" customHeight="1">
      <c r="A32" s="580">
        <f t="shared" si="11"/>
        <v>22</v>
      </c>
      <c r="B32" s="468" t="s">
        <v>790</v>
      </c>
      <c r="C32" s="473" t="s">
        <v>302</v>
      </c>
      <c r="D32" s="588">
        <f t="shared" si="12"/>
        <v>2025</v>
      </c>
      <c r="E32" s="633">
        <f>154/365</f>
        <v>0.42191780821917807</v>
      </c>
      <c r="F32" s="175">
        <f t="shared" si="13"/>
        <v>23266.488498800205</v>
      </c>
      <c r="G32" s="175">
        <f t="shared" si="14"/>
        <v>23266.488498800205</v>
      </c>
      <c r="H32" s="583"/>
      <c r="I32" s="636">
        <v>0</v>
      </c>
      <c r="J32" s="591">
        <f t="shared" si="9"/>
        <v>0</v>
      </c>
      <c r="K32" s="636">
        <v>0</v>
      </c>
      <c r="L32" s="591">
        <f t="shared" si="10"/>
        <v>0</v>
      </c>
    </row>
    <row r="33" spans="1:20" ht="20.25" customHeight="1">
      <c r="A33" s="580">
        <f t="shared" si="11"/>
        <v>23</v>
      </c>
      <c r="B33" s="468" t="s">
        <v>790</v>
      </c>
      <c r="C33" s="473" t="s">
        <v>303</v>
      </c>
      <c r="D33" s="588">
        <f t="shared" si="12"/>
        <v>2025</v>
      </c>
      <c r="E33" s="633">
        <f>123/365</f>
        <v>0.33698630136986302</v>
      </c>
      <c r="F33" s="175">
        <f t="shared" si="13"/>
        <v>23266.488498800205</v>
      </c>
      <c r="G33" s="175">
        <f t="shared" si="14"/>
        <v>23266.488498800205</v>
      </c>
      <c r="H33" s="583"/>
      <c r="I33" s="636">
        <v>0</v>
      </c>
      <c r="J33" s="591">
        <f t="shared" si="9"/>
        <v>0</v>
      </c>
      <c r="K33" s="636">
        <v>0</v>
      </c>
      <c r="L33" s="591">
        <f t="shared" si="10"/>
        <v>0</v>
      </c>
    </row>
    <row r="34" spans="1:20" ht="20.25" customHeight="1">
      <c r="A34" s="580">
        <f t="shared" si="11"/>
        <v>24</v>
      </c>
      <c r="B34" s="468" t="s">
        <v>790</v>
      </c>
      <c r="C34" s="473" t="s">
        <v>304</v>
      </c>
      <c r="D34" s="588">
        <f t="shared" si="12"/>
        <v>2025</v>
      </c>
      <c r="E34" s="633">
        <f>93/365</f>
        <v>0.25479452054794521</v>
      </c>
      <c r="F34" s="175">
        <f t="shared" si="13"/>
        <v>23266.488498800205</v>
      </c>
      <c r="G34" s="175">
        <f t="shared" si="14"/>
        <v>23266.488498800205</v>
      </c>
      <c r="H34" s="583"/>
      <c r="I34" s="636">
        <v>0</v>
      </c>
      <c r="J34" s="591">
        <f t="shared" si="9"/>
        <v>0</v>
      </c>
      <c r="K34" s="636">
        <v>0</v>
      </c>
      <c r="L34" s="591">
        <f t="shared" si="10"/>
        <v>0</v>
      </c>
    </row>
    <row r="35" spans="1:20" ht="20.25" customHeight="1">
      <c r="A35" s="580">
        <f t="shared" si="11"/>
        <v>25</v>
      </c>
      <c r="B35" s="468" t="s">
        <v>790</v>
      </c>
      <c r="C35" s="473" t="s">
        <v>311</v>
      </c>
      <c r="D35" s="588">
        <f t="shared" si="12"/>
        <v>2025</v>
      </c>
      <c r="E35" s="633">
        <f>62/365</f>
        <v>0.16986301369863013</v>
      </c>
      <c r="F35" s="175">
        <f t="shared" si="13"/>
        <v>23266.488498800205</v>
      </c>
      <c r="G35" s="175">
        <f t="shared" si="14"/>
        <v>23266.488498800205</v>
      </c>
      <c r="H35" s="583"/>
      <c r="I35" s="636">
        <v>0</v>
      </c>
      <c r="J35" s="591">
        <f t="shared" si="9"/>
        <v>0</v>
      </c>
      <c r="K35" s="636">
        <v>0</v>
      </c>
      <c r="L35" s="591">
        <f t="shared" si="10"/>
        <v>0</v>
      </c>
    </row>
    <row r="36" spans="1:20" ht="20.25" customHeight="1">
      <c r="A36" s="580">
        <f t="shared" si="11"/>
        <v>26</v>
      </c>
      <c r="B36" s="468" t="s">
        <v>790</v>
      </c>
      <c r="C36" s="473" t="s">
        <v>306</v>
      </c>
      <c r="D36" s="588">
        <f t="shared" si="12"/>
        <v>2025</v>
      </c>
      <c r="E36" s="633">
        <f>32/365</f>
        <v>8.7671232876712329E-2</v>
      </c>
      <c r="F36" s="175">
        <f t="shared" si="13"/>
        <v>23266.488498800205</v>
      </c>
      <c r="G36" s="175">
        <f t="shared" si="14"/>
        <v>23266.488498800205</v>
      </c>
      <c r="H36" s="583"/>
      <c r="I36" s="636">
        <v>0</v>
      </c>
      <c r="J36" s="591">
        <f t="shared" si="9"/>
        <v>0</v>
      </c>
      <c r="K36" s="636">
        <v>0</v>
      </c>
      <c r="L36" s="591">
        <f t="shared" si="10"/>
        <v>0</v>
      </c>
    </row>
    <row r="37" spans="1:20" ht="20.25" customHeight="1">
      <c r="A37" s="580">
        <f t="shared" si="11"/>
        <v>27</v>
      </c>
      <c r="B37" s="468" t="s">
        <v>790</v>
      </c>
      <c r="C37" s="473" t="s">
        <v>293</v>
      </c>
      <c r="D37" s="588">
        <f t="shared" si="12"/>
        <v>2025</v>
      </c>
      <c r="E37" s="633">
        <f>1/365</f>
        <v>2.7397260273972603E-3</v>
      </c>
      <c r="F37" s="175">
        <f t="shared" si="13"/>
        <v>23266.488498800205</v>
      </c>
      <c r="G37" s="175">
        <f t="shared" si="14"/>
        <v>23266.488498800205</v>
      </c>
      <c r="H37" s="583"/>
      <c r="I37" s="636">
        <v>0</v>
      </c>
      <c r="J37" s="591">
        <f t="shared" si="9"/>
        <v>0</v>
      </c>
      <c r="K37" s="636">
        <v>0</v>
      </c>
      <c r="L37" s="591">
        <f t="shared" si="10"/>
        <v>0</v>
      </c>
    </row>
    <row r="38" spans="1:20" ht="20.25" customHeight="1">
      <c r="A38" s="580">
        <f t="shared" si="11"/>
        <v>28</v>
      </c>
      <c r="B38" s="468" t="s">
        <v>794</v>
      </c>
      <c r="F38" s="583">
        <f t="shared" ref="F38:L38" si="15">SUM(F25:F37)</f>
        <v>-2680899.9005713901</v>
      </c>
      <c r="G38" s="583">
        <f>SUM(G25:G37)</f>
        <v>-2680899.9005713901</v>
      </c>
      <c r="H38" s="583">
        <f>SUM(H25:H37)</f>
        <v>-2960097.7625569953</v>
      </c>
      <c r="I38" s="591">
        <f t="shared" si="15"/>
        <v>0</v>
      </c>
      <c r="J38" s="591">
        <f t="shared" si="15"/>
        <v>0</v>
      </c>
      <c r="K38" s="591">
        <f t="shared" si="15"/>
        <v>0</v>
      </c>
      <c r="L38" s="591">
        <f t="shared" si="15"/>
        <v>0</v>
      </c>
    </row>
    <row r="39" spans="1:20">
      <c r="A39" s="580"/>
      <c r="F39" s="583"/>
      <c r="G39" s="583"/>
      <c r="I39" s="591"/>
      <c r="J39" s="591"/>
      <c r="K39" s="591"/>
      <c r="L39" s="591"/>
    </row>
    <row r="40" spans="1:20">
      <c r="A40" s="473" t="s">
        <v>795</v>
      </c>
      <c r="D40" s="472"/>
      <c r="E40" s="472"/>
      <c r="F40" s="472"/>
      <c r="G40" s="472"/>
      <c r="T40" s="574"/>
    </row>
    <row r="41" spans="1:20" ht="20.25" customHeight="1">
      <c r="A41" s="580">
        <f>A38+1</f>
        <v>29</v>
      </c>
      <c r="B41" s="468" t="s">
        <v>796</v>
      </c>
      <c r="C41" s="473" t="s">
        <v>293</v>
      </c>
      <c r="D41" s="588">
        <f>D25</f>
        <v>2024</v>
      </c>
      <c r="E41" s="633">
        <f>365/365</f>
        <v>1</v>
      </c>
      <c r="F41" s="149">
        <f>'6c- ADIT BOY'!C32</f>
        <v>0</v>
      </c>
      <c r="G41" s="149">
        <f>'6c- ADIT BOY'!E32</f>
        <v>0</v>
      </c>
      <c r="H41" s="583">
        <f t="shared" ref="H41:H53" si="16">E41*G41</f>
        <v>0</v>
      </c>
      <c r="I41" s="634">
        <f>'6c- ADIT BOY'!F32</f>
        <v>0</v>
      </c>
      <c r="J41" s="591">
        <f t="shared" ref="J41:J53" si="17">I41*E41</f>
        <v>0</v>
      </c>
      <c r="K41" s="634">
        <f>'6c- ADIT BOY'!G32</f>
        <v>0</v>
      </c>
      <c r="L41" s="591">
        <f t="shared" ref="L41:L53" si="18">E41*K41</f>
        <v>0</v>
      </c>
    </row>
    <row r="42" spans="1:20" ht="20.25" customHeight="1">
      <c r="A42" s="580">
        <f t="shared" ref="A42:A54" si="19">+A41+1</f>
        <v>30</v>
      </c>
      <c r="B42" s="468" t="s">
        <v>790</v>
      </c>
      <c r="C42" s="473" t="s">
        <v>295</v>
      </c>
      <c r="D42" s="588">
        <f t="shared" ref="D42:D53" si="20">D26</f>
        <v>2025</v>
      </c>
      <c r="E42" s="633">
        <f>335/365</f>
        <v>0.9178082191780822</v>
      </c>
      <c r="F42" s="175">
        <v>0</v>
      </c>
      <c r="G42" s="175">
        <v>0</v>
      </c>
      <c r="H42" s="583">
        <f t="shared" si="16"/>
        <v>0</v>
      </c>
      <c r="I42" s="636">
        <v>0</v>
      </c>
      <c r="J42" s="591">
        <f t="shared" si="17"/>
        <v>0</v>
      </c>
      <c r="K42" s="636">
        <v>0</v>
      </c>
      <c r="L42" s="591">
        <f t="shared" si="18"/>
        <v>0</v>
      </c>
    </row>
    <row r="43" spans="1:20" ht="20.25" customHeight="1">
      <c r="A43" s="580">
        <f t="shared" si="19"/>
        <v>31</v>
      </c>
      <c r="B43" s="468" t="s">
        <v>790</v>
      </c>
      <c r="C43" s="473" t="s">
        <v>297</v>
      </c>
      <c r="D43" s="588">
        <f t="shared" si="20"/>
        <v>2025</v>
      </c>
      <c r="E43" s="633">
        <f>307/365</f>
        <v>0.84109589041095889</v>
      </c>
      <c r="F43" s="175">
        <v>0</v>
      </c>
      <c r="G43" s="175">
        <v>0</v>
      </c>
      <c r="H43" s="583">
        <f t="shared" si="16"/>
        <v>0</v>
      </c>
      <c r="I43" s="636">
        <v>0</v>
      </c>
      <c r="J43" s="591">
        <f t="shared" si="17"/>
        <v>0</v>
      </c>
      <c r="K43" s="636">
        <v>0</v>
      </c>
      <c r="L43" s="591">
        <f t="shared" si="18"/>
        <v>0</v>
      </c>
    </row>
    <row r="44" spans="1:20" ht="20.25" customHeight="1">
      <c r="A44" s="580">
        <f t="shared" si="19"/>
        <v>32</v>
      </c>
      <c r="B44" s="468" t="s">
        <v>790</v>
      </c>
      <c r="C44" s="473" t="s">
        <v>298</v>
      </c>
      <c r="D44" s="588">
        <f t="shared" si="20"/>
        <v>2025</v>
      </c>
      <c r="E44" s="633">
        <f>276/365</f>
        <v>0.75616438356164384</v>
      </c>
      <c r="F44" s="175">
        <v>0</v>
      </c>
      <c r="G44" s="175">
        <v>0</v>
      </c>
      <c r="H44" s="583">
        <f t="shared" si="16"/>
        <v>0</v>
      </c>
      <c r="I44" s="636">
        <v>0</v>
      </c>
      <c r="J44" s="591">
        <f t="shared" si="17"/>
        <v>0</v>
      </c>
      <c r="K44" s="636">
        <v>0</v>
      </c>
      <c r="L44" s="591">
        <f t="shared" si="18"/>
        <v>0</v>
      </c>
    </row>
    <row r="45" spans="1:20" ht="20.25" customHeight="1">
      <c r="A45" s="580">
        <f t="shared" si="19"/>
        <v>33</v>
      </c>
      <c r="B45" s="468" t="s">
        <v>790</v>
      </c>
      <c r="C45" s="473" t="s">
        <v>299</v>
      </c>
      <c r="D45" s="588">
        <f t="shared" si="20"/>
        <v>2025</v>
      </c>
      <c r="E45" s="633">
        <f>246/365</f>
        <v>0.67397260273972603</v>
      </c>
      <c r="F45" s="175">
        <v>0</v>
      </c>
      <c r="G45" s="175">
        <v>0</v>
      </c>
      <c r="H45" s="583">
        <f t="shared" si="16"/>
        <v>0</v>
      </c>
      <c r="I45" s="636">
        <v>0</v>
      </c>
      <c r="J45" s="591">
        <f t="shared" si="17"/>
        <v>0</v>
      </c>
      <c r="K45" s="636">
        <v>0</v>
      </c>
      <c r="L45" s="591">
        <f t="shared" si="18"/>
        <v>0</v>
      </c>
    </row>
    <row r="46" spans="1:20" ht="20.25" customHeight="1">
      <c r="A46" s="580">
        <f t="shared" si="19"/>
        <v>34</v>
      </c>
      <c r="B46" s="468" t="s">
        <v>790</v>
      </c>
      <c r="C46" s="473" t="s">
        <v>300</v>
      </c>
      <c r="D46" s="588">
        <f t="shared" si="20"/>
        <v>2025</v>
      </c>
      <c r="E46" s="633">
        <f>215/365</f>
        <v>0.58904109589041098</v>
      </c>
      <c r="F46" s="175">
        <v>0</v>
      </c>
      <c r="G46" s="175">
        <v>0</v>
      </c>
      <c r="H46" s="583">
        <f t="shared" si="16"/>
        <v>0</v>
      </c>
      <c r="I46" s="636">
        <v>0</v>
      </c>
      <c r="J46" s="591">
        <f t="shared" si="17"/>
        <v>0</v>
      </c>
      <c r="K46" s="636">
        <v>0</v>
      </c>
      <c r="L46" s="591">
        <f t="shared" si="18"/>
        <v>0</v>
      </c>
    </row>
    <row r="47" spans="1:20" ht="20.25" customHeight="1">
      <c r="A47" s="580">
        <f t="shared" si="19"/>
        <v>35</v>
      </c>
      <c r="B47" s="468" t="s">
        <v>790</v>
      </c>
      <c r="C47" s="473" t="s">
        <v>466</v>
      </c>
      <c r="D47" s="588">
        <f t="shared" si="20"/>
        <v>2025</v>
      </c>
      <c r="E47" s="633">
        <f>185/365</f>
        <v>0.50684931506849318</v>
      </c>
      <c r="F47" s="175">
        <v>0</v>
      </c>
      <c r="G47" s="175">
        <v>0</v>
      </c>
      <c r="H47" s="583">
        <f t="shared" si="16"/>
        <v>0</v>
      </c>
      <c r="I47" s="636">
        <v>0</v>
      </c>
      <c r="J47" s="591">
        <f t="shared" si="17"/>
        <v>0</v>
      </c>
      <c r="K47" s="636">
        <v>0</v>
      </c>
      <c r="L47" s="591">
        <f t="shared" si="18"/>
        <v>0</v>
      </c>
    </row>
    <row r="48" spans="1:20" ht="20.25" customHeight="1">
      <c r="A48" s="580">
        <f t="shared" si="19"/>
        <v>36</v>
      </c>
      <c r="B48" s="468" t="s">
        <v>790</v>
      </c>
      <c r="C48" s="473" t="s">
        <v>302</v>
      </c>
      <c r="D48" s="588">
        <f t="shared" si="20"/>
        <v>2025</v>
      </c>
      <c r="E48" s="633">
        <f>154/365</f>
        <v>0.42191780821917807</v>
      </c>
      <c r="F48" s="175">
        <v>0</v>
      </c>
      <c r="G48" s="175">
        <v>0</v>
      </c>
      <c r="H48" s="583">
        <f t="shared" si="16"/>
        <v>0</v>
      </c>
      <c r="I48" s="636">
        <v>0</v>
      </c>
      <c r="J48" s="591">
        <f t="shared" si="17"/>
        <v>0</v>
      </c>
      <c r="K48" s="636">
        <v>0</v>
      </c>
      <c r="L48" s="591">
        <f t="shared" si="18"/>
        <v>0</v>
      </c>
    </row>
    <row r="49" spans="1:12" ht="20.25" customHeight="1">
      <c r="A49" s="580">
        <f t="shared" si="19"/>
        <v>37</v>
      </c>
      <c r="B49" s="468" t="s">
        <v>790</v>
      </c>
      <c r="C49" s="473" t="s">
        <v>303</v>
      </c>
      <c r="D49" s="588">
        <f t="shared" si="20"/>
        <v>2025</v>
      </c>
      <c r="E49" s="633">
        <f>123/365</f>
        <v>0.33698630136986302</v>
      </c>
      <c r="F49" s="175">
        <v>0</v>
      </c>
      <c r="G49" s="175">
        <v>0</v>
      </c>
      <c r="H49" s="583">
        <f t="shared" si="16"/>
        <v>0</v>
      </c>
      <c r="I49" s="636">
        <v>0</v>
      </c>
      <c r="J49" s="591">
        <f t="shared" si="17"/>
        <v>0</v>
      </c>
      <c r="K49" s="636">
        <v>0</v>
      </c>
      <c r="L49" s="591">
        <f t="shared" si="18"/>
        <v>0</v>
      </c>
    </row>
    <row r="50" spans="1:12" ht="20.25" customHeight="1">
      <c r="A50" s="580">
        <f t="shared" si="19"/>
        <v>38</v>
      </c>
      <c r="B50" s="468" t="s">
        <v>790</v>
      </c>
      <c r="C50" s="473" t="s">
        <v>304</v>
      </c>
      <c r="D50" s="588">
        <f t="shared" si="20"/>
        <v>2025</v>
      </c>
      <c r="E50" s="633">
        <f>93/365</f>
        <v>0.25479452054794521</v>
      </c>
      <c r="F50" s="175">
        <v>0</v>
      </c>
      <c r="G50" s="175">
        <v>0</v>
      </c>
      <c r="H50" s="583">
        <f t="shared" si="16"/>
        <v>0</v>
      </c>
      <c r="I50" s="636">
        <v>0</v>
      </c>
      <c r="J50" s="591">
        <f t="shared" si="17"/>
        <v>0</v>
      </c>
      <c r="K50" s="636">
        <v>0</v>
      </c>
      <c r="L50" s="591">
        <f t="shared" si="18"/>
        <v>0</v>
      </c>
    </row>
    <row r="51" spans="1:12" ht="20.25" customHeight="1">
      <c r="A51" s="580">
        <f t="shared" si="19"/>
        <v>39</v>
      </c>
      <c r="B51" s="468" t="s">
        <v>790</v>
      </c>
      <c r="C51" s="473" t="s">
        <v>311</v>
      </c>
      <c r="D51" s="588">
        <f t="shared" si="20"/>
        <v>2025</v>
      </c>
      <c r="E51" s="633">
        <f>62/365</f>
        <v>0.16986301369863013</v>
      </c>
      <c r="F51" s="175">
        <v>0</v>
      </c>
      <c r="G51" s="175">
        <v>0</v>
      </c>
      <c r="H51" s="583">
        <f t="shared" si="16"/>
        <v>0</v>
      </c>
      <c r="I51" s="636">
        <v>0</v>
      </c>
      <c r="J51" s="591">
        <f t="shared" si="17"/>
        <v>0</v>
      </c>
      <c r="K51" s="636">
        <v>0</v>
      </c>
      <c r="L51" s="591">
        <f t="shared" si="18"/>
        <v>0</v>
      </c>
    </row>
    <row r="52" spans="1:12" ht="20.25" customHeight="1">
      <c r="A52" s="580">
        <f t="shared" si="19"/>
        <v>40</v>
      </c>
      <c r="B52" s="468" t="s">
        <v>790</v>
      </c>
      <c r="C52" s="473" t="s">
        <v>306</v>
      </c>
      <c r="D52" s="588">
        <f t="shared" si="20"/>
        <v>2025</v>
      </c>
      <c r="E52" s="633">
        <f>32/365</f>
        <v>8.7671232876712329E-2</v>
      </c>
      <c r="F52" s="175">
        <v>0</v>
      </c>
      <c r="G52" s="175">
        <v>0</v>
      </c>
      <c r="H52" s="583">
        <f t="shared" si="16"/>
        <v>0</v>
      </c>
      <c r="I52" s="636">
        <v>0</v>
      </c>
      <c r="J52" s="591">
        <f t="shared" si="17"/>
        <v>0</v>
      </c>
      <c r="K52" s="636">
        <v>0</v>
      </c>
      <c r="L52" s="591">
        <f t="shared" si="18"/>
        <v>0</v>
      </c>
    </row>
    <row r="53" spans="1:12" ht="20.25" customHeight="1">
      <c r="A53" s="580">
        <f t="shared" si="19"/>
        <v>41</v>
      </c>
      <c r="B53" s="468" t="s">
        <v>790</v>
      </c>
      <c r="C53" s="473" t="s">
        <v>293</v>
      </c>
      <c r="D53" s="588">
        <f t="shared" si="20"/>
        <v>2025</v>
      </c>
      <c r="E53" s="633">
        <f>1/365</f>
        <v>2.7397260273972603E-3</v>
      </c>
      <c r="F53" s="175">
        <v>0</v>
      </c>
      <c r="G53" s="175">
        <v>0</v>
      </c>
      <c r="H53" s="583">
        <f t="shared" si="16"/>
        <v>0</v>
      </c>
      <c r="I53" s="636">
        <v>0</v>
      </c>
      <c r="J53" s="591">
        <f t="shared" si="17"/>
        <v>0</v>
      </c>
      <c r="K53" s="636">
        <v>0</v>
      </c>
      <c r="L53" s="591">
        <f t="shared" si="18"/>
        <v>0</v>
      </c>
    </row>
    <row r="54" spans="1:12" ht="20.25" customHeight="1">
      <c r="A54" s="580">
        <f t="shared" si="19"/>
        <v>42</v>
      </c>
      <c r="B54" s="468" t="s">
        <v>797</v>
      </c>
      <c r="F54" s="583">
        <f t="shared" ref="F54:L54" si="21">SUM(F41:F53)</f>
        <v>0</v>
      </c>
      <c r="G54" s="583">
        <f t="shared" si="21"/>
        <v>0</v>
      </c>
      <c r="H54" s="583">
        <f t="shared" si="21"/>
        <v>0</v>
      </c>
      <c r="I54" s="591">
        <f t="shared" si="21"/>
        <v>0</v>
      </c>
      <c r="J54" s="591">
        <f t="shared" si="21"/>
        <v>0</v>
      </c>
      <c r="K54" s="591">
        <f t="shared" si="21"/>
        <v>0</v>
      </c>
      <c r="L54" s="591">
        <f t="shared" si="21"/>
        <v>0</v>
      </c>
    </row>
    <row r="55" spans="1:12">
      <c r="B55" s="473"/>
    </row>
    <row r="56" spans="1:12">
      <c r="B56" s="473"/>
    </row>
    <row r="57" spans="1:12" ht="15.75" customHeight="1">
      <c r="A57" s="481" t="s">
        <v>243</v>
      </c>
      <c r="B57" s="473" t="s">
        <v>798</v>
      </c>
    </row>
    <row r="58" spans="1:12">
      <c r="A58" s="481" t="s">
        <v>245</v>
      </c>
      <c r="B58" s="473" t="s">
        <v>799</v>
      </c>
      <c r="D58" s="630"/>
      <c r="E58" s="630"/>
      <c r="F58" s="630"/>
      <c r="G58" s="630"/>
      <c r="H58" s="630"/>
      <c r="I58" s="631"/>
    </row>
    <row r="59" spans="1:12">
      <c r="A59" s="637" t="s">
        <v>185</v>
      </c>
      <c r="B59" s="473" t="s">
        <v>800</v>
      </c>
      <c r="D59" s="630"/>
      <c r="E59" s="630"/>
      <c r="F59" s="630"/>
      <c r="G59" s="630"/>
      <c r="H59" s="630"/>
      <c r="I59" s="631"/>
    </row>
    <row r="60" spans="1:12">
      <c r="A60" s="637" t="s">
        <v>187</v>
      </c>
      <c r="B60" s="473" t="s">
        <v>801</v>
      </c>
      <c r="D60" s="630"/>
      <c r="E60" s="630"/>
      <c r="F60" s="630"/>
      <c r="G60" s="630"/>
      <c r="H60" s="630"/>
      <c r="I60" s="631"/>
    </row>
    <row r="61" spans="1:12">
      <c r="A61" s="637" t="s">
        <v>189</v>
      </c>
      <c r="B61" s="468" t="s">
        <v>802</v>
      </c>
      <c r="D61" s="472"/>
      <c r="E61" s="472"/>
    </row>
    <row r="62" spans="1:12">
      <c r="D62" s="380"/>
      <c r="E62" s="380"/>
    </row>
    <row r="63" spans="1:12">
      <c r="D63" s="380"/>
      <c r="E63" s="380"/>
    </row>
    <row r="64" spans="1:12">
      <c r="D64" s="380"/>
      <c r="E64" s="380"/>
    </row>
    <row r="65" spans="2:10">
      <c r="D65" s="380"/>
      <c r="E65" s="380"/>
    </row>
    <row r="66" spans="2:10">
      <c r="D66" s="380"/>
      <c r="E66" s="380"/>
      <c r="J66" s="380"/>
    </row>
    <row r="67" spans="2:10">
      <c r="D67" s="380"/>
      <c r="E67" s="380"/>
    </row>
    <row r="68" spans="2:10">
      <c r="D68" s="380"/>
      <c r="E68" s="380"/>
    </row>
    <row r="69" spans="2:10">
      <c r="D69" s="380"/>
      <c r="E69" s="380"/>
    </row>
    <row r="70" spans="2:10">
      <c r="D70" s="380"/>
      <c r="E70" s="380"/>
    </row>
    <row r="71" spans="2:10">
      <c r="D71" s="380"/>
      <c r="E71" s="380"/>
    </row>
    <row r="72" spans="2:10">
      <c r="B72" s="473"/>
      <c r="D72" s="380"/>
      <c r="E72" s="380"/>
    </row>
    <row r="73" spans="2:10">
      <c r="D73" s="380"/>
      <c r="E73" s="380"/>
    </row>
    <row r="74" spans="2:10">
      <c r="B74" s="473"/>
      <c r="D74" s="380"/>
      <c r="E74" s="380"/>
    </row>
    <row r="178" spans="9:9">
      <c r="I178" s="592"/>
    </row>
  </sheetData>
  <mergeCells count="3">
    <mergeCell ref="A1:L1"/>
    <mergeCell ref="A2:L2"/>
    <mergeCell ref="A3:L3"/>
  </mergeCells>
  <pageMargins left="0.7" right="0.7" top="0.75" bottom="0.75" header="0.3" footer="0.3"/>
  <pageSetup scale="4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561D-7599-4ED5-80A4-FF641A40AA06}">
  <dimension ref="A1:U210"/>
  <sheetViews>
    <sheetView view="pageBreakPreview" topLeftCell="A28" zoomScale="80" zoomScaleNormal="70" zoomScaleSheetLayoutView="80" workbookViewId="0">
      <selection activeCell="E117" sqref="E117"/>
    </sheetView>
  </sheetViews>
  <sheetFormatPr defaultColWidth="8.88671875" defaultRowHeight="15.75"/>
  <cols>
    <col min="1" max="1" width="5.109375" style="473" customWidth="1"/>
    <col min="2" max="2" width="49.109375" style="468" customWidth="1"/>
    <col min="3" max="3" width="8.88671875" style="473" bestFit="1" customWidth="1"/>
    <col min="4" max="4" width="13.6640625" style="473" bestFit="1" customWidth="1"/>
    <col min="5" max="5" width="15.44140625" style="473" bestFit="1" customWidth="1"/>
    <col min="6" max="6" width="9.6640625" style="473" customWidth="1"/>
    <col min="7" max="7" width="10.33203125" style="473" bestFit="1" customWidth="1"/>
    <col min="8" max="8" width="54" style="473" bestFit="1" customWidth="1"/>
    <col min="9" max="16384" width="8.88671875" style="573"/>
  </cols>
  <sheetData>
    <row r="1" spans="1:21" ht="18">
      <c r="B1" s="921" t="s">
        <v>803</v>
      </c>
      <c r="C1" s="921"/>
      <c r="D1" s="921"/>
      <c r="E1" s="921"/>
      <c r="F1" s="921"/>
      <c r="G1" s="921"/>
      <c r="H1" s="921"/>
      <c r="I1" s="575"/>
      <c r="J1" s="575"/>
    </row>
    <row r="2" spans="1:21" ht="18">
      <c r="B2" s="921" t="str">
        <f>'6d- ADIT EOY'!B2</f>
        <v>For the 12 months ended 12/31/2025</v>
      </c>
      <c r="C2" s="921"/>
      <c r="D2" s="921"/>
      <c r="E2" s="921"/>
      <c r="F2" s="921"/>
      <c r="G2" s="921"/>
      <c r="H2" s="921"/>
      <c r="I2" s="575"/>
      <c r="J2" s="575"/>
    </row>
    <row r="3" spans="1:21" ht="18">
      <c r="B3" s="921"/>
      <c r="C3" s="921"/>
      <c r="D3" s="921"/>
      <c r="E3" s="921"/>
      <c r="F3" s="921"/>
      <c r="G3" s="921"/>
      <c r="H3" s="941"/>
      <c r="I3" s="575"/>
      <c r="J3" s="575"/>
    </row>
    <row r="4" spans="1:21" ht="18">
      <c r="B4" s="473"/>
      <c r="I4" s="575"/>
      <c r="J4" s="575"/>
    </row>
    <row r="5" spans="1:21">
      <c r="D5" s="472"/>
      <c r="E5" s="472"/>
      <c r="G5" s="472"/>
    </row>
    <row r="6" spans="1:21">
      <c r="D6" s="573"/>
      <c r="E6" s="573"/>
      <c r="F6" s="573"/>
      <c r="G6" s="573"/>
      <c r="U6" s="574"/>
    </row>
    <row r="7" spans="1:21" ht="34.5" customHeight="1">
      <c r="A7" s="576" t="s">
        <v>691</v>
      </c>
      <c r="B7" s="576" t="s">
        <v>692</v>
      </c>
      <c r="C7" s="577"/>
      <c r="D7" s="578"/>
      <c r="E7" s="579" t="s">
        <v>386</v>
      </c>
      <c r="F7" s="579" t="s">
        <v>693</v>
      </c>
      <c r="G7" s="576" t="s">
        <v>694</v>
      </c>
      <c r="H7" s="577"/>
      <c r="U7" s="574"/>
    </row>
    <row r="8" spans="1:21">
      <c r="B8" s="580"/>
      <c r="D8" s="573"/>
      <c r="L8" s="581"/>
    </row>
    <row r="9" spans="1:21">
      <c r="A9" s="473">
        <v>1</v>
      </c>
      <c r="B9" s="473" t="s">
        <v>717</v>
      </c>
      <c r="D9" s="573"/>
      <c r="E9" s="30">
        <f>+E54</f>
        <v>-5348195.9196760003</v>
      </c>
      <c r="F9" s="30">
        <f>+F54</f>
        <v>0</v>
      </c>
      <c r="G9" s="30">
        <f>+G54</f>
        <v>0</v>
      </c>
      <c r="H9" s="473" t="s">
        <v>804</v>
      </c>
    </row>
    <row r="10" spans="1:21">
      <c r="A10" s="473">
        <f>+A9+1</f>
        <v>2</v>
      </c>
      <c r="B10" s="473" t="s">
        <v>722</v>
      </c>
      <c r="D10" s="573"/>
      <c r="E10" s="30">
        <f>+E78</f>
        <v>-2960097.7625569953</v>
      </c>
      <c r="F10" s="30">
        <f>+F78</f>
        <v>0</v>
      </c>
      <c r="G10" s="30">
        <f>+G78</f>
        <v>0</v>
      </c>
      <c r="H10" s="473" t="s">
        <v>805</v>
      </c>
    </row>
    <row r="11" spans="1:21">
      <c r="A11" s="473">
        <f>+A10+1</f>
        <v>3</v>
      </c>
      <c r="B11" s="473" t="s">
        <v>699</v>
      </c>
      <c r="D11" s="573"/>
      <c r="E11" s="30">
        <f>E32</f>
        <v>0</v>
      </c>
      <c r="F11" s="30">
        <f>F32</f>
        <v>0</v>
      </c>
      <c r="G11" s="30">
        <f>G32</f>
        <v>0</v>
      </c>
      <c r="H11" s="473" t="s">
        <v>806</v>
      </c>
    </row>
    <row r="12" spans="1:21">
      <c r="A12" s="473">
        <f>+A11+1</f>
        <v>4</v>
      </c>
      <c r="B12" s="473" t="s">
        <v>701</v>
      </c>
      <c r="D12" s="573"/>
      <c r="E12" s="30">
        <f>SUM(E9:E11)</f>
        <v>-8308293.6822329955</v>
      </c>
      <c r="F12" s="30">
        <f>SUM(F9:F11)</f>
        <v>0</v>
      </c>
      <c r="G12" s="30">
        <f>SUM(G9:G11)</f>
        <v>0</v>
      </c>
      <c r="H12" s="582" t="s">
        <v>807</v>
      </c>
    </row>
    <row r="13" spans="1:21">
      <c r="B13" s="473"/>
      <c r="D13" s="582"/>
      <c r="H13" s="30"/>
    </row>
    <row r="14" spans="1:21">
      <c r="B14" s="473"/>
      <c r="H14" s="583"/>
    </row>
    <row r="15" spans="1:21">
      <c r="B15" s="935" t="s">
        <v>808</v>
      </c>
      <c r="C15" s="935"/>
      <c r="D15" s="935"/>
      <c r="E15" s="935"/>
      <c r="F15" s="935"/>
      <c r="G15" s="935"/>
      <c r="H15" s="935"/>
    </row>
    <row r="16" spans="1:21">
      <c r="C16" s="573"/>
      <c r="D16" s="472"/>
      <c r="E16" s="472"/>
      <c r="F16" s="472"/>
      <c r="G16" s="472"/>
    </row>
    <row r="17" spans="1:8">
      <c r="B17" s="472" t="s">
        <v>185</v>
      </c>
      <c r="C17" s="472" t="s">
        <v>187</v>
      </c>
      <c r="D17" s="472" t="s">
        <v>189</v>
      </c>
      <c r="E17" s="472" t="s">
        <v>192</v>
      </c>
      <c r="F17" s="472" t="s">
        <v>195</v>
      </c>
      <c r="G17" s="472" t="s">
        <v>197</v>
      </c>
      <c r="H17" s="472" t="s">
        <v>206</v>
      </c>
    </row>
    <row r="18" spans="1:8" ht="31.5">
      <c r="B18" s="468" t="s">
        <v>699</v>
      </c>
      <c r="C18" s="474" t="s">
        <v>48</v>
      </c>
      <c r="D18" s="474" t="s">
        <v>809</v>
      </c>
      <c r="E18" s="474" t="s">
        <v>386</v>
      </c>
      <c r="F18" s="474" t="s">
        <v>693</v>
      </c>
      <c r="G18" s="474" t="s">
        <v>694</v>
      </c>
      <c r="H18" s="474" t="s">
        <v>752</v>
      </c>
    </row>
    <row r="19" spans="1:8">
      <c r="A19" s="473">
        <f>A12+1</f>
        <v>5</v>
      </c>
      <c r="B19" s="596"/>
      <c r="C19" s="597"/>
      <c r="D19" s="598"/>
      <c r="E19" s="598"/>
      <c r="F19" s="598"/>
      <c r="G19" s="598"/>
      <c r="H19" s="599"/>
    </row>
    <row r="20" spans="1:8">
      <c r="A20" s="473">
        <f t="shared" ref="A20:A32" si="0">+A19+1</f>
        <v>6</v>
      </c>
      <c r="B20" s="600"/>
      <c r="C20" s="597"/>
      <c r="D20" s="598"/>
      <c r="E20" s="598"/>
      <c r="F20" s="598"/>
      <c r="G20" s="598"/>
      <c r="H20" s="599"/>
    </row>
    <row r="21" spans="1:8">
      <c r="A21" s="473">
        <f t="shared" si="0"/>
        <v>7</v>
      </c>
      <c r="B21" s="600"/>
      <c r="C21" s="597"/>
      <c r="D21" s="598"/>
      <c r="E21" s="598"/>
      <c r="F21" s="598"/>
      <c r="G21" s="598"/>
      <c r="H21" s="599"/>
    </row>
    <row r="22" spans="1:8">
      <c r="A22" s="473">
        <f t="shared" si="0"/>
        <v>8</v>
      </c>
      <c r="B22" s="600"/>
      <c r="C22" s="597"/>
      <c r="D22" s="598"/>
      <c r="E22" s="598"/>
      <c r="F22" s="598"/>
      <c r="G22" s="598"/>
      <c r="H22" s="599"/>
    </row>
    <row r="23" spans="1:8">
      <c r="A23" s="473">
        <f t="shared" si="0"/>
        <v>9</v>
      </c>
      <c r="B23" s="600"/>
      <c r="C23" s="597"/>
      <c r="D23" s="598"/>
      <c r="E23" s="598"/>
      <c r="F23" s="598"/>
      <c r="G23" s="598"/>
      <c r="H23" s="599"/>
    </row>
    <row r="24" spans="1:8">
      <c r="A24" s="473">
        <f t="shared" si="0"/>
        <v>10</v>
      </c>
      <c r="B24" s="600"/>
      <c r="C24" s="597"/>
      <c r="D24" s="598"/>
      <c r="E24" s="598"/>
      <c r="F24" s="598"/>
      <c r="G24" s="598"/>
      <c r="H24" s="599"/>
    </row>
    <row r="25" spans="1:8">
      <c r="A25" s="473">
        <f t="shared" si="0"/>
        <v>11</v>
      </c>
      <c r="B25" s="600"/>
      <c r="C25" s="597"/>
      <c r="D25" s="598"/>
      <c r="E25" s="598"/>
      <c r="F25" s="598"/>
      <c r="G25" s="598"/>
      <c r="H25" s="599"/>
    </row>
    <row r="26" spans="1:8">
      <c r="A26" s="473">
        <f t="shared" si="0"/>
        <v>12</v>
      </c>
      <c r="B26" s="600"/>
      <c r="C26" s="597"/>
      <c r="D26" s="601"/>
      <c r="E26" s="598"/>
      <c r="F26" s="598"/>
      <c r="G26" s="598"/>
      <c r="H26" s="599"/>
    </row>
    <row r="27" spans="1:8">
      <c r="A27" s="473">
        <f t="shared" si="0"/>
        <v>13</v>
      </c>
      <c r="B27" s="600"/>
      <c r="C27" s="597"/>
      <c r="D27" s="598"/>
      <c r="E27" s="598"/>
      <c r="F27" s="598"/>
      <c r="G27" s="598"/>
      <c r="H27" s="599"/>
    </row>
    <row r="28" spans="1:8">
      <c r="A28" s="473">
        <f t="shared" si="0"/>
        <v>14</v>
      </c>
      <c r="B28" s="638" t="s">
        <v>48</v>
      </c>
      <c r="C28" s="639"/>
      <c r="D28" s="639"/>
      <c r="E28" s="639"/>
      <c r="F28" s="639"/>
      <c r="G28" s="639"/>
      <c r="H28" s="640" t="s">
        <v>810</v>
      </c>
    </row>
    <row r="29" spans="1:8">
      <c r="A29" s="473">
        <f t="shared" si="0"/>
        <v>15</v>
      </c>
      <c r="B29" s="602" t="s">
        <v>753</v>
      </c>
      <c r="C29" s="603">
        <f>SUBTOTAL(9,C19:C28)</f>
        <v>0</v>
      </c>
      <c r="D29" s="522">
        <f>SUM(D19:D28)</f>
        <v>0</v>
      </c>
      <c r="E29" s="522">
        <f>SUM(E19:E28)</f>
        <v>0</v>
      </c>
      <c r="F29" s="522">
        <f>SUM(F19:F28)</f>
        <v>0</v>
      </c>
      <c r="G29" s="522">
        <f>SUM(G19:G28)</f>
        <v>0</v>
      </c>
      <c r="H29" s="604"/>
    </row>
    <row r="30" spans="1:8">
      <c r="A30" s="473">
        <f t="shared" si="0"/>
        <v>16</v>
      </c>
      <c r="B30" s="605" t="s">
        <v>754</v>
      </c>
      <c r="C30" s="606"/>
      <c r="D30" s="606"/>
      <c r="E30" s="606"/>
      <c r="F30" s="607"/>
      <c r="G30" s="608"/>
      <c r="H30" s="599"/>
    </row>
    <row r="31" spans="1:8">
      <c r="A31" s="473">
        <f t="shared" si="0"/>
        <v>17</v>
      </c>
      <c r="B31" s="609" t="s">
        <v>755</v>
      </c>
      <c r="C31" s="610"/>
      <c r="D31" s="610"/>
      <c r="E31" s="610"/>
      <c r="F31" s="610"/>
      <c r="G31" s="610"/>
      <c r="H31" s="611"/>
    </row>
    <row r="32" spans="1:8" ht="16.5" thickBot="1">
      <c r="A32" s="473">
        <f t="shared" si="0"/>
        <v>18</v>
      </c>
      <c r="B32" s="612" t="s">
        <v>48</v>
      </c>
      <c r="C32" s="613">
        <f>+C29-C30-C31</f>
        <v>0</v>
      </c>
      <c r="D32" s="613">
        <f>+D29-D30-D31</f>
        <v>0</v>
      </c>
      <c r="E32" s="613">
        <f>+E29-E30-E31</f>
        <v>0</v>
      </c>
      <c r="F32" s="613">
        <f>+F29-F30-F31</f>
        <v>0</v>
      </c>
      <c r="G32" s="613">
        <f>+G29-G30-G31</f>
        <v>0</v>
      </c>
      <c r="H32" s="614"/>
    </row>
    <row r="33" spans="1:8" ht="16.5" thickTop="1">
      <c r="B33" s="473" t="s">
        <v>756</v>
      </c>
      <c r="C33" s="582"/>
      <c r="D33" s="615"/>
      <c r="E33" s="472"/>
      <c r="G33" s="616"/>
    </row>
    <row r="34" spans="1:8">
      <c r="B34" s="942" t="s">
        <v>757</v>
      </c>
      <c r="C34" s="942"/>
      <c r="D34" s="942"/>
      <c r="E34" s="942"/>
      <c r="F34" s="942"/>
      <c r="G34" s="942"/>
    </row>
    <row r="35" spans="1:8">
      <c r="B35" s="468" t="s">
        <v>758</v>
      </c>
      <c r="F35" s="472"/>
      <c r="G35" s="472"/>
    </row>
    <row r="36" spans="1:8">
      <c r="B36" s="468" t="s">
        <v>759</v>
      </c>
      <c r="F36" s="472"/>
      <c r="G36" s="472"/>
    </row>
    <row r="37" spans="1:8">
      <c r="B37" s="468" t="s">
        <v>760</v>
      </c>
      <c r="F37" s="472"/>
      <c r="G37" s="472"/>
    </row>
    <row r="38" spans="1:8">
      <c r="B38" s="942" t="s">
        <v>761</v>
      </c>
      <c r="C38" s="942"/>
      <c r="D38" s="942"/>
      <c r="E38" s="942"/>
      <c r="F38" s="942"/>
      <c r="G38" s="942"/>
      <c r="H38" s="617"/>
    </row>
    <row r="39" spans="1:8">
      <c r="B39" s="617"/>
      <c r="C39" s="617"/>
      <c r="D39" s="617"/>
      <c r="E39" s="617"/>
      <c r="F39" s="617"/>
      <c r="G39" s="617"/>
      <c r="H39" s="617"/>
    </row>
    <row r="40" spans="1:8">
      <c r="B40" s="473"/>
    </row>
    <row r="41" spans="1:8">
      <c r="B41" s="472" t="s">
        <v>185</v>
      </c>
      <c r="C41" s="472" t="s">
        <v>187</v>
      </c>
      <c r="D41" s="472" t="s">
        <v>189</v>
      </c>
      <c r="E41" s="472" t="s">
        <v>192</v>
      </c>
      <c r="F41" s="472" t="s">
        <v>195</v>
      </c>
      <c r="G41" s="472" t="s">
        <v>197</v>
      </c>
      <c r="H41" s="472" t="s">
        <v>206</v>
      </c>
    </row>
    <row r="42" spans="1:8" ht="31.5">
      <c r="B42" s="473" t="s">
        <v>762</v>
      </c>
      <c r="C42" s="474" t="s">
        <v>48</v>
      </c>
      <c r="D42" s="474" t="s">
        <v>809</v>
      </c>
      <c r="E42" s="474" t="s">
        <v>386</v>
      </c>
      <c r="F42" s="474" t="s">
        <v>693</v>
      </c>
      <c r="G42" s="474" t="s">
        <v>694</v>
      </c>
      <c r="H42" s="474" t="s">
        <v>752</v>
      </c>
    </row>
    <row r="43" spans="1:8">
      <c r="A43" s="473">
        <f>A32+1</f>
        <v>19</v>
      </c>
      <c r="B43" s="600" t="str">
        <f>'6a- ADIT'!B59</f>
        <v>Property</v>
      </c>
      <c r="C43" s="597">
        <f>E43</f>
        <v>-5348195.9196760003</v>
      </c>
      <c r="D43" s="598">
        <f>'6a- ADIT'!D59</f>
        <v>0</v>
      </c>
      <c r="E43" s="598">
        <v>-5348195.9196760003</v>
      </c>
      <c r="F43" s="598">
        <f>'6a- ADIT'!F59</f>
        <v>0</v>
      </c>
      <c r="G43" s="598">
        <f>'6a- ADIT'!G59</f>
        <v>0</v>
      </c>
      <c r="H43" s="599" t="str">
        <f>'6a- ADIT'!H59</f>
        <v>Deferred Tax due to expected difference between book and tax depreciation</v>
      </c>
    </row>
    <row r="44" spans="1:8">
      <c r="A44" s="473">
        <f t="shared" ref="A44:A54" si="1">+A43+1</f>
        <v>20</v>
      </c>
      <c r="B44" s="600"/>
      <c r="C44" s="597"/>
      <c r="D44" s="598"/>
      <c r="E44" s="598"/>
      <c r="F44" s="598"/>
      <c r="G44" s="598"/>
      <c r="H44" s="599"/>
    </row>
    <row r="45" spans="1:8">
      <c r="A45" s="473">
        <f t="shared" si="1"/>
        <v>21</v>
      </c>
      <c r="B45" s="600"/>
      <c r="C45" s="597"/>
      <c r="D45" s="598"/>
      <c r="E45" s="598"/>
      <c r="F45" s="598"/>
      <c r="G45" s="598"/>
      <c r="H45" s="599"/>
    </row>
    <row r="46" spans="1:8">
      <c r="A46" s="473">
        <f t="shared" si="1"/>
        <v>22</v>
      </c>
      <c r="B46" s="600"/>
      <c r="C46" s="598"/>
      <c r="D46" s="598"/>
      <c r="E46" s="598"/>
      <c r="F46" s="598"/>
      <c r="G46" s="598"/>
      <c r="H46" s="599"/>
    </row>
    <row r="47" spans="1:8">
      <c r="A47" s="473">
        <f t="shared" si="1"/>
        <v>23</v>
      </c>
      <c r="B47" s="600"/>
      <c r="C47" s="598"/>
      <c r="D47" s="598"/>
      <c r="E47" s="598"/>
      <c r="F47" s="598"/>
      <c r="G47" s="598"/>
      <c r="H47" s="599"/>
    </row>
    <row r="48" spans="1:8">
      <c r="A48" s="473">
        <f t="shared" si="1"/>
        <v>24</v>
      </c>
      <c r="B48" s="619"/>
      <c r="C48" s="620"/>
      <c r="D48" s="620"/>
      <c r="E48" s="620"/>
      <c r="F48" s="620"/>
      <c r="G48" s="620"/>
      <c r="H48" s="599"/>
    </row>
    <row r="49" spans="1:8">
      <c r="A49" s="473">
        <f t="shared" si="1"/>
        <v>25</v>
      </c>
      <c r="B49" s="621"/>
      <c r="C49" s="620"/>
      <c r="D49" s="620"/>
      <c r="E49" s="620"/>
      <c r="F49" s="620"/>
      <c r="G49" s="620"/>
      <c r="H49" s="599"/>
    </row>
    <row r="50" spans="1:8">
      <c r="A50" s="473">
        <f t="shared" si="1"/>
        <v>26</v>
      </c>
      <c r="B50" s="638" t="s">
        <v>48</v>
      </c>
      <c r="C50" s="641"/>
      <c r="D50" s="641"/>
      <c r="E50" s="641"/>
      <c r="F50" s="641"/>
      <c r="G50" s="641"/>
      <c r="H50" s="640" t="s">
        <v>810</v>
      </c>
    </row>
    <row r="51" spans="1:8">
      <c r="A51" s="473">
        <f t="shared" si="1"/>
        <v>27</v>
      </c>
      <c r="B51" s="622" t="s">
        <v>811</v>
      </c>
      <c r="C51" s="522">
        <f>SUBTOTAL(9,C43:C50)</f>
        <v>-5348195.9196760003</v>
      </c>
      <c r="D51" s="522">
        <f>SUM(D43:D50)</f>
        <v>0</v>
      </c>
      <c r="E51" s="522">
        <f>SUM(E43:E50)</f>
        <v>-5348195.9196760003</v>
      </c>
      <c r="F51" s="522">
        <f>SUM(F43:F50)</f>
        <v>0</v>
      </c>
      <c r="G51" s="522">
        <f>SUM(G43:G50)</f>
        <v>0</v>
      </c>
      <c r="H51" s="604"/>
    </row>
    <row r="52" spans="1:8">
      <c r="A52" s="473">
        <f t="shared" si="1"/>
        <v>28</v>
      </c>
      <c r="B52" s="622" t="s">
        <v>754</v>
      </c>
      <c r="C52" s="606"/>
      <c r="D52" s="606"/>
      <c r="E52" s="606"/>
      <c r="F52" s="606"/>
      <c r="G52" s="606"/>
      <c r="H52" s="599"/>
    </row>
    <row r="53" spans="1:8">
      <c r="A53" s="473">
        <f t="shared" si="1"/>
        <v>29</v>
      </c>
      <c r="B53" s="623" t="s">
        <v>755</v>
      </c>
      <c r="C53" s="610"/>
      <c r="D53" s="610"/>
      <c r="E53" s="610"/>
      <c r="F53" s="610"/>
      <c r="G53" s="610"/>
      <c r="H53" s="611"/>
    </row>
    <row r="54" spans="1:8" ht="16.5" thickBot="1">
      <c r="A54" s="473">
        <f t="shared" si="1"/>
        <v>30</v>
      </c>
      <c r="B54" s="612" t="s">
        <v>48</v>
      </c>
      <c r="C54" s="613">
        <f>+C51-C52-C53</f>
        <v>-5348195.9196760003</v>
      </c>
      <c r="D54" s="613">
        <f>+D51-D52-D53</f>
        <v>0</v>
      </c>
      <c r="E54" s="613">
        <f>+E51-E52-E53</f>
        <v>-5348195.9196760003</v>
      </c>
      <c r="F54" s="613">
        <f>+F51-F52-F53</f>
        <v>0</v>
      </c>
      <c r="G54" s="613">
        <f>+G51-G52-G53</f>
        <v>0</v>
      </c>
      <c r="H54" s="614"/>
    </row>
    <row r="55" spans="1:8" ht="16.5" thickTop="1">
      <c r="B55" s="473" t="s">
        <v>766</v>
      </c>
      <c r="D55" s="472"/>
      <c r="E55" s="615"/>
      <c r="G55" s="617"/>
    </row>
    <row r="56" spans="1:8">
      <c r="B56" s="942" t="s">
        <v>757</v>
      </c>
      <c r="C56" s="942"/>
      <c r="D56" s="942"/>
      <c r="E56" s="942"/>
      <c r="F56" s="942"/>
      <c r="G56" s="942"/>
    </row>
    <row r="57" spans="1:8">
      <c r="B57" s="468" t="s">
        <v>758</v>
      </c>
      <c r="F57" s="472"/>
      <c r="G57" s="472"/>
    </row>
    <row r="58" spans="1:8">
      <c r="B58" s="468" t="s">
        <v>759</v>
      </c>
      <c r="F58" s="472"/>
      <c r="G58" s="472"/>
    </row>
    <row r="59" spans="1:8">
      <c r="B59" s="468" t="s">
        <v>760</v>
      </c>
      <c r="F59" s="472"/>
      <c r="G59" s="472"/>
    </row>
    <row r="60" spans="1:8">
      <c r="B60" s="942" t="s">
        <v>761</v>
      </c>
      <c r="C60" s="942"/>
      <c r="D60" s="942"/>
      <c r="E60" s="942"/>
      <c r="F60" s="942"/>
      <c r="G60" s="942"/>
      <c r="H60" s="617"/>
    </row>
    <row r="61" spans="1:8">
      <c r="H61" s="617"/>
    </row>
    <row r="62" spans="1:8">
      <c r="H62" s="617"/>
    </row>
    <row r="63" spans="1:8">
      <c r="B63" s="472" t="s">
        <v>185</v>
      </c>
      <c r="C63" s="472" t="s">
        <v>187</v>
      </c>
      <c r="D63" s="472" t="s">
        <v>189</v>
      </c>
      <c r="E63" s="472" t="s">
        <v>192</v>
      </c>
      <c r="F63" s="472" t="s">
        <v>195</v>
      </c>
      <c r="G63" s="472" t="s">
        <v>197</v>
      </c>
      <c r="H63" s="472" t="s">
        <v>206</v>
      </c>
    </row>
    <row r="64" spans="1:8" ht="31.5">
      <c r="B64" s="473" t="s">
        <v>767</v>
      </c>
      <c r="C64" s="474" t="s">
        <v>48</v>
      </c>
      <c r="D64" s="474" t="s">
        <v>809</v>
      </c>
      <c r="E64" s="474" t="s">
        <v>386</v>
      </c>
      <c r="F64" s="474" t="s">
        <v>693</v>
      </c>
      <c r="G64" s="474" t="s">
        <v>694</v>
      </c>
      <c r="H64" s="474" t="s">
        <v>752</v>
      </c>
    </row>
    <row r="65" spans="1:10">
      <c r="A65" s="473">
        <f>A54+1</f>
        <v>31</v>
      </c>
      <c r="B65" s="624" t="str">
        <f>'6a- ADIT'!B87</f>
        <v>Pre-Commercial Costs - ADIT</v>
      </c>
      <c r="C65" s="597">
        <f>E65</f>
        <v>-2960097.7625569953</v>
      </c>
      <c r="D65" s="598">
        <f>'6a- ADIT'!D87</f>
        <v>0</v>
      </c>
      <c r="E65" s="598">
        <v>-2960097.7625569953</v>
      </c>
      <c r="F65" s="598">
        <f>'6a- ADIT'!F87</f>
        <v>0</v>
      </c>
      <c r="G65" s="598">
        <f>'6a- ADIT'!G87</f>
        <v>0</v>
      </c>
      <c r="H65" s="599">
        <f>'6a- ADIT'!H87</f>
        <v>0</v>
      </c>
    </row>
    <row r="66" spans="1:10">
      <c r="A66" s="473">
        <f t="shared" ref="A66:A78" si="2">+A65+1</f>
        <v>32</v>
      </c>
      <c r="B66" s="600"/>
      <c r="C66" s="597"/>
      <c r="D66" s="598"/>
      <c r="E66" s="598"/>
      <c r="F66" s="598"/>
      <c r="G66" s="598"/>
      <c r="H66" s="599"/>
      <c r="J66" s="642"/>
    </row>
    <row r="67" spans="1:10">
      <c r="A67" s="473">
        <f t="shared" si="2"/>
        <v>33</v>
      </c>
      <c r="B67" s="600"/>
      <c r="C67" s="597"/>
      <c r="D67" s="598"/>
      <c r="E67" s="598"/>
      <c r="F67" s="598"/>
      <c r="G67" s="598"/>
      <c r="H67" s="599"/>
    </row>
    <row r="68" spans="1:10">
      <c r="A68" s="473">
        <f t="shared" si="2"/>
        <v>34</v>
      </c>
      <c r="B68" s="600"/>
      <c r="C68" s="597"/>
      <c r="D68" s="598"/>
      <c r="E68" s="598"/>
      <c r="F68" s="598"/>
      <c r="G68" s="598"/>
      <c r="H68" s="599"/>
    </row>
    <row r="69" spans="1:10">
      <c r="A69" s="473">
        <f t="shared" si="2"/>
        <v>35</v>
      </c>
      <c r="B69" s="600"/>
      <c r="C69" s="598"/>
      <c r="D69" s="620"/>
      <c r="E69" s="598"/>
      <c r="F69" s="598"/>
      <c r="G69" s="598"/>
      <c r="H69" s="599"/>
    </row>
    <row r="70" spans="1:10">
      <c r="A70" s="473">
        <f t="shared" si="2"/>
        <v>36</v>
      </c>
      <c r="B70" s="600"/>
      <c r="C70" s="598"/>
      <c r="D70" s="620"/>
      <c r="E70" s="598"/>
      <c r="F70" s="598"/>
      <c r="G70" s="598"/>
      <c r="H70" s="599"/>
    </row>
    <row r="71" spans="1:10">
      <c r="A71" s="473">
        <f t="shared" si="2"/>
        <v>37</v>
      </c>
      <c r="B71" s="600"/>
      <c r="C71" s="598"/>
      <c r="D71" s="620"/>
      <c r="E71" s="598"/>
      <c r="F71" s="598"/>
      <c r="G71" s="598"/>
      <c r="H71" s="599"/>
    </row>
    <row r="72" spans="1:10">
      <c r="A72" s="473">
        <f t="shared" si="2"/>
        <v>38</v>
      </c>
      <c r="B72" s="600"/>
      <c r="C72" s="598"/>
      <c r="D72" s="601"/>
      <c r="E72" s="598"/>
      <c r="F72" s="598"/>
      <c r="G72" s="598"/>
      <c r="H72" s="599"/>
    </row>
    <row r="73" spans="1:10">
      <c r="A73" s="473">
        <f t="shared" si="2"/>
        <v>39</v>
      </c>
      <c r="B73" s="600"/>
      <c r="C73" s="598"/>
      <c r="D73" s="598"/>
      <c r="E73" s="598"/>
      <c r="F73" s="598"/>
      <c r="G73" s="598"/>
      <c r="H73" s="599"/>
    </row>
    <row r="74" spans="1:10">
      <c r="A74" s="473">
        <f t="shared" si="2"/>
        <v>40</v>
      </c>
      <c r="B74" s="638" t="s">
        <v>48</v>
      </c>
      <c r="C74" s="641"/>
      <c r="D74" s="641"/>
      <c r="E74" s="641"/>
      <c r="F74" s="641"/>
      <c r="G74" s="641"/>
      <c r="H74" s="640" t="s">
        <v>810</v>
      </c>
    </row>
    <row r="75" spans="1:10">
      <c r="A75" s="473">
        <f t="shared" si="2"/>
        <v>41</v>
      </c>
      <c r="B75" s="602" t="s">
        <v>769</v>
      </c>
      <c r="C75" s="603">
        <f>SUBTOTAL(9,C65:C74)</f>
        <v>-2960097.7625569953</v>
      </c>
      <c r="D75" s="603">
        <f>SUM(D65:D74)</f>
        <v>0</v>
      </c>
      <c r="E75" s="603">
        <f>SUM(E65:E74)</f>
        <v>-2960097.7625569953</v>
      </c>
      <c r="F75" s="603">
        <f>SUM(F65:F74)</f>
        <v>0</v>
      </c>
      <c r="G75" s="603">
        <f>SUM(G65:G74)</f>
        <v>0</v>
      </c>
      <c r="H75" s="599"/>
    </row>
    <row r="76" spans="1:10">
      <c r="A76" s="473">
        <f t="shared" si="2"/>
        <v>42</v>
      </c>
      <c r="B76" s="602" t="s">
        <v>754</v>
      </c>
      <c r="C76" s="607"/>
      <c r="D76" s="607"/>
      <c r="E76" s="607"/>
      <c r="F76" s="607"/>
      <c r="G76" s="607"/>
      <c r="H76" s="599"/>
    </row>
    <row r="77" spans="1:10">
      <c r="A77" s="473">
        <f t="shared" si="2"/>
        <v>43</v>
      </c>
      <c r="B77" s="625" t="s">
        <v>755</v>
      </c>
      <c r="C77" s="626"/>
      <c r="D77" s="626"/>
      <c r="E77" s="626"/>
      <c r="F77" s="626"/>
      <c r="G77" s="626"/>
      <c r="H77" s="611"/>
    </row>
    <row r="78" spans="1:10" ht="16.5" thickBot="1">
      <c r="A78" s="473">
        <f t="shared" si="2"/>
        <v>44</v>
      </c>
      <c r="B78" s="612" t="s">
        <v>48</v>
      </c>
      <c r="C78" s="627">
        <f>+C75-C76-C77</f>
        <v>-2960097.7625569953</v>
      </c>
      <c r="D78" s="627">
        <f>+D75-D76-D77</f>
        <v>0</v>
      </c>
      <c r="E78" s="627">
        <f>+E75-E76-E77</f>
        <v>-2960097.7625569953</v>
      </c>
      <c r="F78" s="627">
        <f>+F75-F76-F77</f>
        <v>0</v>
      </c>
      <c r="G78" s="627">
        <f>+G75-G76-G77</f>
        <v>0</v>
      </c>
      <c r="H78" s="614"/>
    </row>
    <row r="79" spans="1:10" ht="16.5" thickTop="1">
      <c r="B79" s="473" t="s">
        <v>770</v>
      </c>
      <c r="E79" s="472"/>
      <c r="F79" s="472"/>
      <c r="H79" s="628"/>
    </row>
    <row r="80" spans="1:10">
      <c r="B80" s="942" t="s">
        <v>757</v>
      </c>
      <c r="C80" s="942"/>
      <c r="D80" s="942"/>
      <c r="E80" s="942"/>
      <c r="F80" s="942"/>
      <c r="G80" s="942"/>
    </row>
    <row r="81" spans="2:9">
      <c r="B81" s="468" t="s">
        <v>758</v>
      </c>
      <c r="F81" s="472"/>
      <c r="G81" s="472"/>
    </row>
    <row r="82" spans="2:9">
      <c r="B82" s="468" t="s">
        <v>759</v>
      </c>
      <c r="F82" s="472"/>
      <c r="G82" s="472"/>
    </row>
    <row r="83" spans="2:9">
      <c r="B83" s="468" t="s">
        <v>760</v>
      </c>
      <c r="F83" s="472"/>
      <c r="G83" s="472"/>
    </row>
    <row r="84" spans="2:9" ht="35.25" customHeight="1">
      <c r="B84" s="942" t="s">
        <v>761</v>
      </c>
      <c r="C84" s="942"/>
      <c r="D84" s="942"/>
      <c r="E84" s="942"/>
      <c r="F84" s="942"/>
      <c r="G84" s="942"/>
    </row>
    <row r="86" spans="2:9" ht="15.75" customHeight="1">
      <c r="B86" s="629"/>
      <c r="C86" s="629"/>
      <c r="D86" s="629"/>
      <c r="E86" s="629"/>
      <c r="F86" s="629"/>
      <c r="G86" s="629"/>
      <c r="H86" s="629"/>
    </row>
    <row r="87" spans="2:9">
      <c r="B87" s="921"/>
      <c r="C87" s="921"/>
      <c r="D87" s="921"/>
      <c r="E87" s="921"/>
      <c r="F87" s="921"/>
      <c r="G87" s="921"/>
      <c r="H87" s="921"/>
    </row>
    <row r="88" spans="2:9">
      <c r="B88" s="473"/>
    </row>
    <row r="89" spans="2:9">
      <c r="B89" s="473"/>
    </row>
    <row r="90" spans="2:9" ht="15.75" customHeight="1">
      <c r="B90" s="473"/>
    </row>
    <row r="91" spans="2:9">
      <c r="B91" s="473"/>
      <c r="D91" s="630"/>
      <c r="E91" s="630"/>
      <c r="F91" s="630"/>
      <c r="G91" s="630"/>
      <c r="H91" s="630"/>
      <c r="I91" s="631"/>
    </row>
    <row r="92" spans="2:9">
      <c r="B92" s="473"/>
      <c r="D92" s="630"/>
      <c r="E92" s="630"/>
      <c r="F92" s="630"/>
      <c r="G92" s="630"/>
      <c r="H92" s="630"/>
      <c r="I92" s="631"/>
    </row>
    <row r="93" spans="2:9">
      <c r="D93" s="472"/>
      <c r="E93" s="472"/>
    </row>
    <row r="94" spans="2:9">
      <c r="D94" s="380"/>
      <c r="E94" s="380"/>
    </row>
    <row r="95" spans="2:9">
      <c r="D95" s="380"/>
      <c r="E95" s="380"/>
    </row>
    <row r="96" spans="2: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3"/>
      <c r="D104" s="380"/>
      <c r="E104" s="380"/>
    </row>
    <row r="105" spans="2:5">
      <c r="D105" s="380"/>
      <c r="E105" s="380"/>
    </row>
    <row r="106" spans="2:5">
      <c r="B106" s="473"/>
      <c r="D106" s="380"/>
      <c r="E106" s="380"/>
    </row>
    <row r="210" spans="9:9">
      <c r="I210" s="592"/>
    </row>
  </sheetData>
  <mergeCells count="11">
    <mergeCell ref="B56:G56"/>
    <mergeCell ref="B60:G60"/>
    <mergeCell ref="B80:G80"/>
    <mergeCell ref="B84:G84"/>
    <mergeCell ref="B87:H87"/>
    <mergeCell ref="B38:G38"/>
    <mergeCell ref="B1:H1"/>
    <mergeCell ref="B2:H2"/>
    <mergeCell ref="B3:H3"/>
    <mergeCell ref="B15:H15"/>
    <mergeCell ref="B34:G34"/>
  </mergeCells>
  <pageMargins left="0.7" right="0.7" top="0.75" bottom="0.75" header="0.3" footer="0.3"/>
  <pageSetup scale="34"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C9FC0-D443-4E46-804B-F5647012CAEA}">
  <dimension ref="A1:U210"/>
  <sheetViews>
    <sheetView view="pageBreakPreview" zoomScale="80" zoomScaleNormal="70" zoomScaleSheetLayoutView="80" workbookViewId="0">
      <selection activeCell="E117" sqref="E117"/>
    </sheetView>
  </sheetViews>
  <sheetFormatPr defaultColWidth="8.88671875" defaultRowHeight="15.75"/>
  <cols>
    <col min="1" max="1" width="5" style="473" customWidth="1"/>
    <col min="2" max="2" width="49.109375" style="468" customWidth="1"/>
    <col min="3" max="3" width="8.88671875" style="473" bestFit="1" customWidth="1"/>
    <col min="4" max="4" width="13.6640625" style="473" bestFit="1" customWidth="1"/>
    <col min="5" max="5" width="18.33203125" style="473" bestFit="1" customWidth="1"/>
    <col min="6" max="6" width="9.6640625" style="473" bestFit="1" customWidth="1"/>
    <col min="7" max="7" width="10.33203125" style="473" bestFit="1" customWidth="1"/>
    <col min="8" max="8" width="19.6640625" style="473" bestFit="1" customWidth="1"/>
    <col min="9" max="16384" width="8.88671875" style="573"/>
  </cols>
  <sheetData>
    <row r="1" spans="1:21" ht="18">
      <c r="B1" s="921" t="s">
        <v>812</v>
      </c>
      <c r="C1" s="921"/>
      <c r="D1" s="921"/>
      <c r="E1" s="921"/>
      <c r="F1" s="921"/>
      <c r="G1" s="921"/>
      <c r="H1" s="921"/>
      <c r="I1" s="575"/>
      <c r="J1" s="575"/>
    </row>
    <row r="2" spans="1:21" ht="18">
      <c r="B2" s="921" t="str">
        <f>'6e-ADIT True-up'!A3:A3</f>
        <v>For the 12 months ended 12/31/2025</v>
      </c>
      <c r="C2" s="921"/>
      <c r="D2" s="921"/>
      <c r="E2" s="921"/>
      <c r="F2" s="921"/>
      <c r="G2" s="921"/>
      <c r="H2" s="921"/>
      <c r="I2" s="575"/>
      <c r="J2" s="575"/>
    </row>
    <row r="3" spans="1:21" ht="8.25" customHeight="1">
      <c r="B3" s="921"/>
      <c r="C3" s="921"/>
      <c r="D3" s="921"/>
      <c r="E3" s="921"/>
      <c r="F3" s="921"/>
      <c r="G3" s="921"/>
      <c r="H3" s="941"/>
      <c r="I3" s="575"/>
      <c r="J3" s="575"/>
    </row>
    <row r="4" spans="1:21" ht="8.25" customHeight="1">
      <c r="I4" s="575"/>
      <c r="J4" s="575"/>
    </row>
    <row r="5" spans="1:21" ht="8.25" customHeight="1">
      <c r="D5" s="472"/>
      <c r="E5" s="472"/>
      <c r="G5" s="472"/>
    </row>
    <row r="6" spans="1:21" ht="8.25" customHeight="1">
      <c r="D6" s="472"/>
      <c r="E6" s="472"/>
      <c r="F6" s="472"/>
      <c r="G6" s="472"/>
      <c r="U6" s="574"/>
    </row>
    <row r="7" spans="1:21" ht="34.5" customHeight="1">
      <c r="A7" s="576" t="s">
        <v>691</v>
      </c>
      <c r="B7" s="576" t="s">
        <v>692</v>
      </c>
      <c r="C7" s="577"/>
      <c r="D7" s="578"/>
      <c r="E7" s="643" t="s">
        <v>386</v>
      </c>
      <c r="F7" s="579" t="s">
        <v>693</v>
      </c>
      <c r="G7" s="579" t="s">
        <v>694</v>
      </c>
      <c r="H7" s="577"/>
      <c r="U7" s="574"/>
    </row>
    <row r="8" spans="1:21">
      <c r="A8" s="580"/>
      <c r="L8" s="644"/>
    </row>
    <row r="9" spans="1:21">
      <c r="A9" s="580">
        <v>1</v>
      </c>
      <c r="B9" s="473" t="s">
        <v>762</v>
      </c>
      <c r="E9" s="149">
        <f>+E54</f>
        <v>-6064356.6882520001</v>
      </c>
      <c r="F9" s="149">
        <f>+F54</f>
        <v>0</v>
      </c>
      <c r="G9" s="149">
        <f>+G54</f>
        <v>0</v>
      </c>
      <c r="H9" s="473" t="s">
        <v>804</v>
      </c>
    </row>
    <row r="10" spans="1:21">
      <c r="A10" s="580">
        <f>+A9+1</f>
        <v>2</v>
      </c>
      <c r="B10" s="473" t="s">
        <v>722</v>
      </c>
      <c r="E10" s="149">
        <f>+E78</f>
        <v>-2680899.9005713928</v>
      </c>
      <c r="F10" s="149">
        <f>+F78</f>
        <v>0</v>
      </c>
      <c r="G10" s="149">
        <f>+G78</f>
        <v>0</v>
      </c>
      <c r="H10" s="473" t="s">
        <v>805</v>
      </c>
    </row>
    <row r="11" spans="1:21">
      <c r="A11" s="580">
        <f>+A10+1</f>
        <v>3</v>
      </c>
      <c r="B11" s="473" t="s">
        <v>699</v>
      </c>
      <c r="E11" s="149">
        <f>E32</f>
        <v>0</v>
      </c>
      <c r="F11" s="149">
        <f>F32</f>
        <v>0</v>
      </c>
      <c r="G11" s="149">
        <f>G32</f>
        <v>0</v>
      </c>
      <c r="H11" s="473" t="s">
        <v>806</v>
      </c>
    </row>
    <row r="12" spans="1:21">
      <c r="A12" s="580">
        <f>+A11+1</f>
        <v>4</v>
      </c>
      <c r="B12" s="473" t="s">
        <v>701</v>
      </c>
      <c r="E12" s="149">
        <f>SUM(E9:E11)</f>
        <v>-8745256.588823393</v>
      </c>
      <c r="F12" s="149">
        <f>SUM(F9:F11)</f>
        <v>0</v>
      </c>
      <c r="G12" s="149">
        <f>SUM(G9:G11)</f>
        <v>0</v>
      </c>
      <c r="H12" s="582" t="s">
        <v>807</v>
      </c>
    </row>
    <row r="13" spans="1:21">
      <c r="A13" s="580"/>
      <c r="B13" s="473"/>
      <c r="D13" s="582"/>
      <c r="H13" s="30"/>
    </row>
    <row r="14" spans="1:21">
      <c r="A14" s="580"/>
      <c r="B14" s="473"/>
      <c r="H14" s="583"/>
    </row>
    <row r="15" spans="1:21">
      <c r="A15" s="580"/>
      <c r="B15" s="935" t="s">
        <v>808</v>
      </c>
      <c r="C15" s="935"/>
      <c r="D15" s="935"/>
      <c r="E15" s="935"/>
      <c r="F15" s="935"/>
      <c r="G15" s="935"/>
      <c r="H15" s="935"/>
    </row>
    <row r="16" spans="1:21">
      <c r="A16" s="580"/>
    </row>
    <row r="17" spans="1:8">
      <c r="A17" s="580"/>
      <c r="B17" s="472" t="s">
        <v>185</v>
      </c>
      <c r="C17" s="472" t="s">
        <v>187</v>
      </c>
      <c r="D17" s="472" t="s">
        <v>189</v>
      </c>
      <c r="E17" s="472" t="s">
        <v>192</v>
      </c>
      <c r="F17" s="472" t="s">
        <v>195</v>
      </c>
      <c r="G17" s="472" t="s">
        <v>197</v>
      </c>
      <c r="H17" s="472" t="s">
        <v>206</v>
      </c>
    </row>
    <row r="18" spans="1:8" ht="31.5">
      <c r="A18" s="580"/>
      <c r="B18" s="468" t="s">
        <v>699</v>
      </c>
      <c r="C18" s="474" t="s">
        <v>48</v>
      </c>
      <c r="D18" s="474" t="s">
        <v>809</v>
      </c>
      <c r="E18" s="474" t="s">
        <v>386</v>
      </c>
      <c r="F18" s="474" t="s">
        <v>693</v>
      </c>
      <c r="G18" s="474" t="s">
        <v>694</v>
      </c>
      <c r="H18" s="474" t="s">
        <v>752</v>
      </c>
    </row>
    <row r="19" spans="1:8">
      <c r="A19" s="580">
        <f>A12+1</f>
        <v>5</v>
      </c>
      <c r="B19" s="596"/>
      <c r="C19" s="597"/>
      <c r="D19" s="598"/>
      <c r="E19" s="598"/>
      <c r="F19" s="598"/>
      <c r="G19" s="598"/>
      <c r="H19" s="599"/>
    </row>
    <row r="20" spans="1:8">
      <c r="A20" s="580">
        <f t="shared" ref="A20:A32" si="0">+A19+1</f>
        <v>6</v>
      </c>
      <c r="B20" s="600"/>
      <c r="C20" s="597"/>
      <c r="D20" s="598"/>
      <c r="E20" s="598"/>
      <c r="F20" s="598"/>
      <c r="G20" s="598"/>
      <c r="H20" s="599"/>
    </row>
    <row r="21" spans="1:8">
      <c r="A21" s="580">
        <f t="shared" si="0"/>
        <v>7</v>
      </c>
      <c r="B21" s="600"/>
      <c r="C21" s="597"/>
      <c r="D21" s="598"/>
      <c r="E21" s="598"/>
      <c r="F21" s="598"/>
      <c r="G21" s="598"/>
      <c r="H21" s="599"/>
    </row>
    <row r="22" spans="1:8">
      <c r="A22" s="580">
        <f t="shared" si="0"/>
        <v>8</v>
      </c>
      <c r="B22" s="600"/>
      <c r="C22" s="597"/>
      <c r="D22" s="598"/>
      <c r="E22" s="598"/>
      <c r="F22" s="598"/>
      <c r="G22" s="598"/>
      <c r="H22" s="599"/>
    </row>
    <row r="23" spans="1:8">
      <c r="A23" s="580">
        <f t="shared" si="0"/>
        <v>9</v>
      </c>
      <c r="B23" s="600"/>
      <c r="C23" s="597"/>
      <c r="D23" s="598"/>
      <c r="E23" s="598"/>
      <c r="F23" s="598"/>
      <c r="G23" s="598"/>
      <c r="H23" s="599"/>
    </row>
    <row r="24" spans="1:8">
      <c r="A24" s="580">
        <f t="shared" si="0"/>
        <v>10</v>
      </c>
      <c r="B24" s="600"/>
      <c r="C24" s="597"/>
      <c r="D24" s="598"/>
      <c r="E24" s="598"/>
      <c r="F24" s="598"/>
      <c r="G24" s="598"/>
      <c r="H24" s="599"/>
    </row>
    <row r="25" spans="1:8">
      <c r="A25" s="580">
        <f t="shared" si="0"/>
        <v>11</v>
      </c>
      <c r="B25" s="600"/>
      <c r="C25" s="597"/>
      <c r="D25" s="598"/>
      <c r="E25" s="598"/>
      <c r="F25" s="598"/>
      <c r="G25" s="598"/>
      <c r="H25" s="599"/>
    </row>
    <row r="26" spans="1:8">
      <c r="A26" s="580">
        <f t="shared" si="0"/>
        <v>12</v>
      </c>
      <c r="B26" s="600"/>
      <c r="C26" s="597"/>
      <c r="D26" s="601"/>
      <c r="E26" s="598"/>
      <c r="F26" s="598"/>
      <c r="G26" s="598"/>
      <c r="H26" s="599"/>
    </row>
    <row r="27" spans="1:8">
      <c r="A27" s="580">
        <f t="shared" si="0"/>
        <v>13</v>
      </c>
      <c r="B27" s="600"/>
      <c r="C27" s="597"/>
      <c r="D27" s="598"/>
      <c r="E27" s="598"/>
      <c r="F27" s="598"/>
      <c r="G27" s="598"/>
      <c r="H27" s="599"/>
    </row>
    <row r="28" spans="1:8">
      <c r="A28" s="580">
        <f t="shared" si="0"/>
        <v>14</v>
      </c>
      <c r="B28" s="638" t="s">
        <v>48</v>
      </c>
      <c r="C28" s="639"/>
      <c r="D28" s="639"/>
      <c r="E28" s="639"/>
      <c r="F28" s="639"/>
      <c r="G28" s="639"/>
      <c r="H28" s="640" t="s">
        <v>810</v>
      </c>
    </row>
    <row r="29" spans="1:8">
      <c r="A29" s="580">
        <f t="shared" si="0"/>
        <v>15</v>
      </c>
      <c r="B29" s="602" t="s">
        <v>774</v>
      </c>
      <c r="C29" s="603">
        <f>SUBTOTAL(9,C19:C28)</f>
        <v>0</v>
      </c>
      <c r="D29" s="522">
        <f>SUM(D19:D28)</f>
        <v>0</v>
      </c>
      <c r="E29" s="522">
        <f>SUM(E19:E28)</f>
        <v>0</v>
      </c>
      <c r="F29" s="522">
        <f>SUM(F19:F28)</f>
        <v>0</v>
      </c>
      <c r="G29" s="522">
        <f>SUM(G19:G28)</f>
        <v>0</v>
      </c>
      <c r="H29" s="604"/>
    </row>
    <row r="30" spans="1:8">
      <c r="A30" s="580">
        <f t="shared" si="0"/>
        <v>16</v>
      </c>
      <c r="B30" s="605" t="s">
        <v>754</v>
      </c>
      <c r="C30" s="606"/>
      <c r="D30" s="606"/>
      <c r="E30" s="606"/>
      <c r="F30" s="607"/>
      <c r="G30" s="608"/>
      <c r="H30" s="599"/>
    </row>
    <row r="31" spans="1:8">
      <c r="A31" s="580">
        <f t="shared" si="0"/>
        <v>17</v>
      </c>
      <c r="B31" s="609" t="s">
        <v>755</v>
      </c>
      <c r="C31" s="610"/>
      <c r="D31" s="610"/>
      <c r="E31" s="610"/>
      <c r="F31" s="610"/>
      <c r="G31" s="610"/>
      <c r="H31" s="611"/>
    </row>
    <row r="32" spans="1:8" ht="16.5" thickBot="1">
      <c r="A32" s="580">
        <f t="shared" si="0"/>
        <v>18</v>
      </c>
      <c r="B32" s="612" t="s">
        <v>48</v>
      </c>
      <c r="C32" s="613">
        <f>+C29-C30-C31</f>
        <v>0</v>
      </c>
      <c r="D32" s="613">
        <f>+D29-D30-D31</f>
        <v>0</v>
      </c>
      <c r="E32" s="613">
        <f>+E29-E30-E31</f>
        <v>0</v>
      </c>
      <c r="F32" s="613">
        <f>+F29-F30-F31</f>
        <v>0</v>
      </c>
      <c r="G32" s="613">
        <f>+G29-G30-G31</f>
        <v>0</v>
      </c>
      <c r="H32" s="614"/>
    </row>
    <row r="33" spans="1:8" ht="16.5" thickTop="1">
      <c r="A33" s="580"/>
      <c r="B33" s="473" t="s">
        <v>756</v>
      </c>
      <c r="C33" s="582"/>
      <c r="D33" s="615"/>
      <c r="E33" s="472"/>
      <c r="G33" s="616"/>
    </row>
    <row r="34" spans="1:8">
      <c r="A34" s="580"/>
      <c r="B34" s="942" t="s">
        <v>757</v>
      </c>
      <c r="C34" s="942"/>
      <c r="D34" s="942"/>
      <c r="E34" s="942"/>
      <c r="F34" s="942"/>
      <c r="G34" s="942"/>
    </row>
    <row r="35" spans="1:8">
      <c r="A35" s="580"/>
      <c r="B35" s="468" t="s">
        <v>758</v>
      </c>
      <c r="F35" s="472"/>
      <c r="G35" s="472"/>
    </row>
    <row r="36" spans="1:8">
      <c r="A36" s="580"/>
      <c r="B36" s="468" t="s">
        <v>759</v>
      </c>
      <c r="F36" s="472"/>
      <c r="G36" s="472"/>
    </row>
    <row r="37" spans="1:8">
      <c r="A37" s="580"/>
      <c r="B37" s="468" t="s">
        <v>760</v>
      </c>
      <c r="F37" s="472"/>
      <c r="G37" s="472"/>
    </row>
    <row r="38" spans="1:8">
      <c r="A38" s="580"/>
      <c r="B38" s="942" t="s">
        <v>775</v>
      </c>
      <c r="C38" s="942"/>
      <c r="D38" s="942"/>
      <c r="E38" s="942"/>
      <c r="F38" s="942"/>
      <c r="G38" s="942"/>
      <c r="H38" s="617"/>
    </row>
    <row r="39" spans="1:8">
      <c r="A39" s="580"/>
      <c r="B39" s="617"/>
      <c r="C39" s="617"/>
      <c r="D39" s="617"/>
      <c r="E39" s="617"/>
      <c r="F39" s="617"/>
      <c r="G39" s="617"/>
      <c r="H39" s="617"/>
    </row>
    <row r="40" spans="1:8">
      <c r="A40" s="580"/>
      <c r="B40" s="473"/>
    </row>
    <row r="41" spans="1:8">
      <c r="A41" s="580"/>
      <c r="B41" s="472" t="s">
        <v>185</v>
      </c>
      <c r="C41" s="472" t="s">
        <v>187</v>
      </c>
      <c r="D41" s="472" t="s">
        <v>189</v>
      </c>
      <c r="E41" s="472" t="s">
        <v>192</v>
      </c>
      <c r="F41" s="472" t="s">
        <v>195</v>
      </c>
      <c r="G41" s="472" t="s">
        <v>197</v>
      </c>
      <c r="H41" s="472" t="s">
        <v>206</v>
      </c>
    </row>
    <row r="42" spans="1:8" ht="31.5">
      <c r="A42" s="580"/>
      <c r="B42" s="468" t="s">
        <v>717</v>
      </c>
      <c r="C42" s="474" t="s">
        <v>48</v>
      </c>
      <c r="D42" s="474" t="s">
        <v>809</v>
      </c>
      <c r="E42" s="474" t="s">
        <v>386</v>
      </c>
      <c r="F42" s="474" t="s">
        <v>693</v>
      </c>
      <c r="G42" s="474" t="s">
        <v>694</v>
      </c>
      <c r="H42" s="474" t="s">
        <v>752</v>
      </c>
    </row>
    <row r="43" spans="1:8">
      <c r="A43" s="580">
        <f>A32+1</f>
        <v>19</v>
      </c>
      <c r="B43" s="600"/>
      <c r="C43" s="597"/>
      <c r="D43" s="598">
        <f>'6b- ADIT'!D58</f>
        <v>0</v>
      </c>
      <c r="E43" s="598"/>
      <c r="F43" s="598">
        <f>'6b- ADIT'!F58</f>
        <v>0</v>
      </c>
      <c r="G43" s="598">
        <f>'6b- ADIT'!G58</f>
        <v>0</v>
      </c>
      <c r="H43" s="599"/>
    </row>
    <row r="44" spans="1:8">
      <c r="A44" s="580">
        <f t="shared" ref="A44:A54" si="1">+A43+1</f>
        <v>20</v>
      </c>
      <c r="B44" s="600"/>
      <c r="C44" s="597"/>
      <c r="D44" s="598"/>
      <c r="E44" s="598"/>
      <c r="F44" s="598"/>
      <c r="G44" s="598"/>
      <c r="H44" s="599"/>
    </row>
    <row r="45" spans="1:8">
      <c r="A45" s="580">
        <f t="shared" si="1"/>
        <v>21</v>
      </c>
      <c r="B45" s="600"/>
      <c r="C45" s="597"/>
      <c r="D45" s="598"/>
      <c r="E45" s="598"/>
      <c r="F45" s="598"/>
      <c r="G45" s="598"/>
      <c r="H45" s="599"/>
    </row>
    <row r="46" spans="1:8">
      <c r="A46" s="580">
        <f t="shared" si="1"/>
        <v>22</v>
      </c>
      <c r="B46" s="600"/>
      <c r="C46" s="597"/>
      <c r="D46" s="598"/>
      <c r="E46" s="598"/>
      <c r="F46" s="598"/>
      <c r="G46" s="598"/>
      <c r="H46" s="599"/>
    </row>
    <row r="47" spans="1:8">
      <c r="A47" s="580">
        <f t="shared" si="1"/>
        <v>23</v>
      </c>
      <c r="B47" s="600"/>
      <c r="C47" s="598"/>
      <c r="D47" s="598"/>
      <c r="E47" s="598"/>
      <c r="F47" s="598"/>
      <c r="G47" s="598"/>
      <c r="H47" s="599"/>
    </row>
    <row r="48" spans="1:8">
      <c r="A48" s="580">
        <f t="shared" si="1"/>
        <v>24</v>
      </c>
      <c r="B48" s="600"/>
      <c r="C48" s="598"/>
      <c r="D48" s="598"/>
      <c r="E48" s="598"/>
      <c r="F48" s="598"/>
      <c r="G48" s="598"/>
      <c r="H48" s="599"/>
    </row>
    <row r="49" spans="1:8">
      <c r="A49" s="580">
        <f t="shared" si="1"/>
        <v>25</v>
      </c>
      <c r="B49" s="619"/>
      <c r="C49" s="620"/>
      <c r="D49" s="620"/>
      <c r="E49" s="620"/>
      <c r="F49" s="620"/>
      <c r="G49" s="620"/>
      <c r="H49" s="599"/>
    </row>
    <row r="50" spans="1:8">
      <c r="A50" s="580">
        <f t="shared" si="1"/>
        <v>26</v>
      </c>
      <c r="B50" s="645" t="s">
        <v>813</v>
      </c>
      <c r="C50" s="620"/>
      <c r="D50" s="620"/>
      <c r="E50" s="598">
        <v>-6064356.6882520001</v>
      </c>
      <c r="F50" s="620"/>
      <c r="G50" s="620"/>
      <c r="H50" s="599"/>
    </row>
    <row r="51" spans="1:8">
      <c r="A51" s="580">
        <f t="shared" si="1"/>
        <v>27</v>
      </c>
      <c r="B51" s="622" t="s">
        <v>814</v>
      </c>
      <c r="C51" s="522">
        <f>SUBTOTAL(9,C43:C50)</f>
        <v>0</v>
      </c>
      <c r="D51" s="522">
        <f>SUM(D43:D50)</f>
        <v>0</v>
      </c>
      <c r="E51" s="522">
        <f>SUM(E43:E50)</f>
        <v>-6064356.6882520001</v>
      </c>
      <c r="F51" s="522">
        <f>SUM(F43:F50)</f>
        <v>0</v>
      </c>
      <c r="G51" s="522">
        <f>SUM(G43:G50)</f>
        <v>0</v>
      </c>
      <c r="H51" s="604"/>
    </row>
    <row r="52" spans="1:8">
      <c r="A52" s="580">
        <f t="shared" si="1"/>
        <v>28</v>
      </c>
      <c r="B52" s="622" t="s">
        <v>754</v>
      </c>
      <c r="C52" s="606"/>
      <c r="D52" s="606"/>
      <c r="E52" s="606"/>
      <c r="F52" s="606"/>
      <c r="G52" s="606"/>
      <c r="H52" s="599"/>
    </row>
    <row r="53" spans="1:8">
      <c r="A53" s="580">
        <f t="shared" si="1"/>
        <v>29</v>
      </c>
      <c r="B53" s="623" t="s">
        <v>755</v>
      </c>
      <c r="C53" s="610"/>
      <c r="D53" s="610"/>
      <c r="E53" s="610"/>
      <c r="F53" s="610"/>
      <c r="G53" s="610"/>
      <c r="H53" s="611"/>
    </row>
    <row r="54" spans="1:8" ht="16.5" thickBot="1">
      <c r="A54" s="580">
        <f t="shared" si="1"/>
        <v>30</v>
      </c>
      <c r="B54" s="612" t="s">
        <v>48</v>
      </c>
      <c r="C54" s="613">
        <f>+C51-C52-C53</f>
        <v>0</v>
      </c>
      <c r="D54" s="613">
        <f>+D51-D52-D53</f>
        <v>0</v>
      </c>
      <c r="E54" s="613">
        <f>+E51-E52-E53</f>
        <v>-6064356.6882520001</v>
      </c>
      <c r="F54" s="613">
        <f>+F51-F52-F53</f>
        <v>0</v>
      </c>
      <c r="G54" s="613">
        <f>+G51-G52-G53</f>
        <v>0</v>
      </c>
      <c r="H54" s="614"/>
    </row>
    <row r="55" spans="1:8" ht="16.5" thickTop="1">
      <c r="A55" s="580"/>
      <c r="B55" s="473" t="s">
        <v>766</v>
      </c>
      <c r="D55" s="472"/>
      <c r="E55" s="615"/>
      <c r="G55" s="617"/>
    </row>
    <row r="56" spans="1:8">
      <c r="A56" s="580"/>
      <c r="B56" s="942" t="s">
        <v>757</v>
      </c>
      <c r="C56" s="942"/>
      <c r="D56" s="942"/>
      <c r="E56" s="942"/>
      <c r="F56" s="942"/>
      <c r="G56" s="942"/>
    </row>
    <row r="57" spans="1:8">
      <c r="A57" s="580"/>
      <c r="B57" s="468" t="s">
        <v>758</v>
      </c>
      <c r="F57" s="472"/>
      <c r="G57" s="472"/>
    </row>
    <row r="58" spans="1:8">
      <c r="A58" s="580"/>
      <c r="B58" s="468" t="s">
        <v>759</v>
      </c>
      <c r="F58" s="472"/>
      <c r="G58" s="472"/>
    </row>
    <row r="59" spans="1:8">
      <c r="A59" s="580"/>
      <c r="B59" s="468" t="s">
        <v>760</v>
      </c>
      <c r="F59" s="472"/>
      <c r="G59" s="472"/>
    </row>
    <row r="60" spans="1:8">
      <c r="A60" s="580"/>
      <c r="B60" s="942" t="s">
        <v>761</v>
      </c>
      <c r="C60" s="942"/>
      <c r="D60" s="942"/>
      <c r="E60" s="942"/>
      <c r="F60" s="942"/>
      <c r="G60" s="942"/>
      <c r="H60" s="617"/>
    </row>
    <row r="61" spans="1:8">
      <c r="A61" s="580"/>
      <c r="H61" s="617"/>
    </row>
    <row r="62" spans="1:8">
      <c r="A62" s="580"/>
      <c r="H62" s="617"/>
    </row>
    <row r="63" spans="1:8">
      <c r="A63" s="580"/>
      <c r="B63" s="472" t="s">
        <v>185</v>
      </c>
      <c r="C63" s="472" t="s">
        <v>187</v>
      </c>
      <c r="D63" s="472" t="s">
        <v>189</v>
      </c>
      <c r="E63" s="472" t="s">
        <v>192</v>
      </c>
      <c r="F63" s="472" t="s">
        <v>195</v>
      </c>
      <c r="G63" s="472" t="s">
        <v>197</v>
      </c>
      <c r="H63" s="472" t="s">
        <v>206</v>
      </c>
    </row>
    <row r="64" spans="1:8" ht="31.5">
      <c r="A64" s="580"/>
      <c r="B64" s="468" t="s">
        <v>722</v>
      </c>
      <c r="C64" s="474" t="s">
        <v>48</v>
      </c>
      <c r="D64" s="474" t="s">
        <v>809</v>
      </c>
      <c r="E64" s="474" t="s">
        <v>386</v>
      </c>
      <c r="F64" s="474" t="s">
        <v>693</v>
      </c>
      <c r="G64" s="474" t="s">
        <v>694</v>
      </c>
      <c r="H64" s="474" t="s">
        <v>752</v>
      </c>
    </row>
    <row r="65" spans="1:10">
      <c r="A65" s="580">
        <f>A54+1</f>
        <v>31</v>
      </c>
      <c r="B65" s="624" t="str">
        <f>'6b- ADIT'!B87</f>
        <v>Pre-Commercial Costs - ADIT</v>
      </c>
      <c r="C65" s="597">
        <f>E65</f>
        <v>-2680899.9005713928</v>
      </c>
      <c r="D65" s="598">
        <f>'6b- ADIT'!D87</f>
        <v>0</v>
      </c>
      <c r="E65" s="598">
        <v>-2680899.9005713928</v>
      </c>
      <c r="F65" s="598">
        <f>'6b- ADIT'!F87</f>
        <v>0</v>
      </c>
      <c r="G65" s="598">
        <f>'6b- ADIT'!G87</f>
        <v>0</v>
      </c>
      <c r="H65" s="599">
        <f>'6b- ADIT'!H87</f>
        <v>0</v>
      </c>
    </row>
    <row r="66" spans="1:10">
      <c r="A66" s="580">
        <f t="shared" ref="A66:A78" si="2">+A65+1</f>
        <v>32</v>
      </c>
      <c r="B66" s="600"/>
      <c r="C66" s="597"/>
      <c r="D66" s="598"/>
      <c r="E66" s="598"/>
      <c r="F66" s="598"/>
      <c r="G66" s="598"/>
      <c r="H66" s="599"/>
      <c r="J66" s="642"/>
    </row>
    <row r="67" spans="1:10">
      <c r="A67" s="580">
        <f t="shared" si="2"/>
        <v>33</v>
      </c>
      <c r="B67" s="600"/>
      <c r="C67" s="597"/>
      <c r="D67" s="598"/>
      <c r="E67" s="598"/>
      <c r="F67" s="598"/>
      <c r="G67" s="598"/>
      <c r="H67" s="599"/>
    </row>
    <row r="68" spans="1:10">
      <c r="A68" s="580">
        <f t="shared" si="2"/>
        <v>34</v>
      </c>
      <c r="B68" s="600"/>
      <c r="C68" s="597"/>
      <c r="D68" s="598"/>
      <c r="E68" s="598"/>
      <c r="F68" s="598"/>
      <c r="G68" s="598"/>
      <c r="H68" s="599"/>
    </row>
    <row r="69" spans="1:10">
      <c r="A69" s="580">
        <f t="shared" si="2"/>
        <v>35</v>
      </c>
      <c r="B69" s="600"/>
      <c r="C69" s="598"/>
      <c r="D69" s="620"/>
      <c r="E69" s="598"/>
      <c r="F69" s="598"/>
      <c r="G69" s="598"/>
      <c r="H69" s="599"/>
    </row>
    <row r="70" spans="1:10">
      <c r="A70" s="580">
        <f t="shared" si="2"/>
        <v>36</v>
      </c>
      <c r="B70" s="600"/>
      <c r="C70" s="598"/>
      <c r="D70" s="620"/>
      <c r="E70" s="598"/>
      <c r="F70" s="598"/>
      <c r="G70" s="598"/>
      <c r="H70" s="599"/>
    </row>
    <row r="71" spans="1:10">
      <c r="A71" s="580">
        <f t="shared" si="2"/>
        <v>37</v>
      </c>
      <c r="B71" s="600"/>
      <c r="C71" s="598"/>
      <c r="D71" s="620"/>
      <c r="E71" s="598"/>
      <c r="F71" s="598"/>
      <c r="G71" s="598"/>
      <c r="H71" s="599"/>
    </row>
    <row r="72" spans="1:10">
      <c r="A72" s="580">
        <f t="shared" si="2"/>
        <v>38</v>
      </c>
      <c r="B72" s="600"/>
      <c r="C72" s="598"/>
      <c r="D72" s="601"/>
      <c r="E72" s="598"/>
      <c r="F72" s="598"/>
      <c r="G72" s="598"/>
      <c r="H72" s="599"/>
    </row>
    <row r="73" spans="1:10">
      <c r="A73" s="580">
        <f t="shared" si="2"/>
        <v>39</v>
      </c>
      <c r="B73" s="600"/>
      <c r="C73" s="598"/>
      <c r="D73" s="598"/>
      <c r="E73" s="598"/>
      <c r="F73" s="598"/>
      <c r="G73" s="598"/>
      <c r="H73" s="599"/>
    </row>
    <row r="74" spans="1:10">
      <c r="A74" s="580">
        <f t="shared" si="2"/>
        <v>40</v>
      </c>
      <c r="B74" s="638" t="s">
        <v>815</v>
      </c>
      <c r="C74" s="641"/>
      <c r="D74" s="641"/>
      <c r="E74" s="641"/>
      <c r="F74" s="641"/>
      <c r="G74" s="641"/>
      <c r="H74" s="640" t="s">
        <v>810</v>
      </c>
    </row>
    <row r="75" spans="1:10">
      <c r="A75" s="580">
        <f t="shared" si="2"/>
        <v>41</v>
      </c>
      <c r="B75" s="602" t="s">
        <v>816</v>
      </c>
      <c r="C75" s="603">
        <f>SUBTOTAL(9,C65:C74)</f>
        <v>-2680899.9005713928</v>
      </c>
      <c r="D75" s="603">
        <f>SUM(D65:D74)</f>
        <v>0</v>
      </c>
      <c r="E75" s="603">
        <f>SUM(E65:E74)</f>
        <v>-2680899.9005713928</v>
      </c>
      <c r="F75" s="603">
        <f>SUM(F65:F74)</f>
        <v>0</v>
      </c>
      <c r="G75" s="603">
        <f>SUM(G65:G74)</f>
        <v>0</v>
      </c>
      <c r="H75" s="599"/>
    </row>
    <row r="76" spans="1:10">
      <c r="A76" s="580">
        <f t="shared" si="2"/>
        <v>42</v>
      </c>
      <c r="B76" s="602" t="s">
        <v>754</v>
      </c>
      <c r="C76" s="607"/>
      <c r="D76" s="607"/>
      <c r="E76" s="607"/>
      <c r="F76" s="607"/>
      <c r="G76" s="607"/>
      <c r="H76" s="599"/>
    </row>
    <row r="77" spans="1:10">
      <c r="A77" s="580">
        <f t="shared" si="2"/>
        <v>43</v>
      </c>
      <c r="B77" s="625" t="s">
        <v>755</v>
      </c>
      <c r="C77" s="626"/>
      <c r="D77" s="626"/>
      <c r="E77" s="626"/>
      <c r="F77" s="626"/>
      <c r="G77" s="626"/>
      <c r="H77" s="611"/>
    </row>
    <row r="78" spans="1:10" ht="16.5" thickBot="1">
      <c r="A78" s="580">
        <f t="shared" si="2"/>
        <v>44</v>
      </c>
      <c r="B78" s="612" t="s">
        <v>48</v>
      </c>
      <c r="C78" s="627">
        <f>+C75-C76-C77</f>
        <v>-2680899.9005713928</v>
      </c>
      <c r="D78" s="627">
        <f>+D75-D76-D77</f>
        <v>0</v>
      </c>
      <c r="E78" s="627">
        <f>+E75-E76-E77</f>
        <v>-2680899.9005713928</v>
      </c>
      <c r="F78" s="627">
        <f>+F75-F76-F77</f>
        <v>0</v>
      </c>
      <c r="G78" s="627">
        <f>+G75-G76-G77</f>
        <v>0</v>
      </c>
      <c r="H78" s="614"/>
    </row>
    <row r="79" spans="1:10" ht="16.5" thickTop="1">
      <c r="A79" s="580"/>
      <c r="B79" s="473" t="s">
        <v>770</v>
      </c>
      <c r="E79" s="472"/>
      <c r="F79" s="472"/>
      <c r="H79" s="628"/>
    </row>
    <row r="80" spans="1:10">
      <c r="A80" s="580"/>
      <c r="B80" s="942" t="s">
        <v>757</v>
      </c>
      <c r="C80" s="942"/>
      <c r="D80" s="942"/>
      <c r="E80" s="942"/>
      <c r="F80" s="942"/>
      <c r="G80" s="942"/>
    </row>
    <row r="81" spans="1:9">
      <c r="A81" s="580"/>
      <c r="B81" s="468" t="s">
        <v>758</v>
      </c>
      <c r="F81" s="472"/>
      <c r="G81" s="472"/>
    </row>
    <row r="82" spans="1:9">
      <c r="A82" s="580"/>
      <c r="B82" s="468" t="s">
        <v>759</v>
      </c>
      <c r="F82" s="472"/>
      <c r="G82" s="472"/>
    </row>
    <row r="83" spans="1:9">
      <c r="A83" s="580"/>
      <c r="B83" s="468" t="s">
        <v>760</v>
      </c>
      <c r="F83" s="472"/>
      <c r="G83" s="472"/>
    </row>
    <row r="84" spans="1:9">
      <c r="A84" s="580"/>
      <c r="B84" s="942" t="s">
        <v>761</v>
      </c>
      <c r="C84" s="942"/>
      <c r="D84" s="942"/>
      <c r="E84" s="942"/>
      <c r="F84" s="942"/>
      <c r="G84" s="942"/>
    </row>
    <row r="86" spans="1:9" ht="15.75" customHeight="1">
      <c r="B86" s="629"/>
      <c r="C86" s="629"/>
      <c r="D86" s="629"/>
      <c r="E86" s="629"/>
      <c r="F86" s="629"/>
      <c r="G86" s="629"/>
      <c r="H86" s="629"/>
    </row>
    <row r="87" spans="1:9">
      <c r="B87" s="921"/>
      <c r="C87" s="921"/>
      <c r="D87" s="921"/>
      <c r="E87" s="921"/>
      <c r="F87" s="921"/>
      <c r="G87" s="921"/>
      <c r="H87" s="921"/>
    </row>
    <row r="88" spans="1:9">
      <c r="B88" s="473"/>
    </row>
    <row r="89" spans="1:9">
      <c r="B89" s="473"/>
    </row>
    <row r="90" spans="1:9" ht="15.75" customHeight="1">
      <c r="B90" s="473"/>
    </row>
    <row r="91" spans="1:9">
      <c r="B91" s="473"/>
      <c r="D91" s="630"/>
      <c r="E91" s="630"/>
      <c r="F91" s="630"/>
      <c r="G91" s="630"/>
      <c r="H91" s="630"/>
      <c r="I91" s="631"/>
    </row>
    <row r="92" spans="1:9">
      <c r="B92" s="473"/>
      <c r="D92" s="630"/>
      <c r="E92" s="630"/>
      <c r="F92" s="630"/>
      <c r="G92" s="630"/>
      <c r="H92" s="630"/>
      <c r="I92" s="631"/>
    </row>
    <row r="93" spans="1:9">
      <c r="D93" s="472"/>
      <c r="E93" s="472"/>
    </row>
    <row r="94" spans="1:9">
      <c r="D94" s="380"/>
      <c r="E94" s="380"/>
    </row>
    <row r="95" spans="1:9">
      <c r="D95" s="380"/>
      <c r="E95" s="380"/>
    </row>
    <row r="96" spans="1: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73"/>
      <c r="D104" s="380"/>
      <c r="E104" s="380"/>
    </row>
    <row r="105" spans="2:5">
      <c r="D105" s="380"/>
      <c r="E105" s="380"/>
    </row>
    <row r="106" spans="2:5">
      <c r="B106" s="473"/>
      <c r="D106" s="380"/>
      <c r="E106" s="380"/>
    </row>
    <row r="210" spans="9:9">
      <c r="I210" s="592"/>
    </row>
  </sheetData>
  <mergeCells count="11">
    <mergeCell ref="B56:G56"/>
    <mergeCell ref="B60:G60"/>
    <mergeCell ref="B80:G80"/>
    <mergeCell ref="B84:G84"/>
    <mergeCell ref="B87:H87"/>
    <mergeCell ref="B38:G38"/>
    <mergeCell ref="B1:H1"/>
    <mergeCell ref="B2:H2"/>
    <mergeCell ref="B3:H3"/>
    <mergeCell ref="B15:H15"/>
    <mergeCell ref="B34:G34"/>
  </mergeCells>
  <pageMargins left="0.7" right="0.7" top="0.75" bottom="0.75" header="0.3" footer="0.3"/>
  <pageSetup scale="35"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700D0-A066-41BA-B967-688C26E26A02}">
  <dimension ref="A1:T152"/>
  <sheetViews>
    <sheetView view="pageBreakPreview" zoomScale="90" zoomScaleNormal="80" zoomScaleSheetLayoutView="90" workbookViewId="0">
      <selection activeCell="E117" sqref="E117"/>
    </sheetView>
  </sheetViews>
  <sheetFormatPr defaultColWidth="8.88671875" defaultRowHeight="15.75"/>
  <cols>
    <col min="1" max="1" width="5.5546875" style="473" customWidth="1"/>
    <col min="2" max="2" width="28.109375" style="468" customWidth="1"/>
    <col min="3" max="3" width="10.5546875" style="473" bestFit="1" customWidth="1"/>
    <col min="4" max="4" width="9.88671875" style="473" bestFit="1" customWidth="1"/>
    <col min="5" max="5" width="20.5546875" style="473" bestFit="1" customWidth="1"/>
    <col min="6" max="6" width="12" style="473" customWidth="1"/>
    <col min="7" max="7" width="11.88671875" style="473" customWidth="1"/>
    <col min="8" max="8" width="14" style="573" customWidth="1"/>
    <col min="9" max="9" width="41.33203125" style="573" bestFit="1" customWidth="1"/>
    <col min="10" max="10" width="8.88671875" style="573"/>
    <col min="11" max="11" width="12" style="573" customWidth="1"/>
    <col min="12" max="12" width="12.88671875" style="573" customWidth="1"/>
    <col min="13" max="16384" width="8.88671875" style="573"/>
  </cols>
  <sheetData>
    <row r="1" spans="1:20" ht="18" customHeight="1">
      <c r="A1" s="921" t="s">
        <v>817</v>
      </c>
      <c r="B1" s="921"/>
      <c r="C1" s="921"/>
      <c r="D1" s="921"/>
      <c r="E1" s="921"/>
      <c r="F1" s="921"/>
      <c r="G1" s="921"/>
      <c r="H1" s="921"/>
      <c r="I1" s="921"/>
      <c r="J1" s="473"/>
      <c r="K1" s="473"/>
      <c r="L1" s="473"/>
    </row>
    <row r="2" spans="1:20" ht="18" customHeight="1">
      <c r="A2" s="922" t="str">
        <f>'Appendix III'!D7:D7</f>
        <v>Horizon West Transmission, LLC</v>
      </c>
      <c r="B2" s="922"/>
      <c r="C2" s="922"/>
      <c r="D2" s="922"/>
      <c r="E2" s="922"/>
      <c r="F2" s="922"/>
      <c r="G2" s="922"/>
      <c r="H2" s="922"/>
      <c r="I2" s="922"/>
      <c r="J2" s="481"/>
      <c r="K2" s="481"/>
      <c r="L2" s="481"/>
    </row>
    <row r="3" spans="1:20" ht="18" customHeight="1">
      <c r="A3" s="921" t="str">
        <f>'6f-ADIT True-up Proration'!A3:N3</f>
        <v>For the 12 months ended 12/31/2025</v>
      </c>
      <c r="B3" s="921"/>
      <c r="C3" s="921"/>
      <c r="D3" s="921"/>
      <c r="E3" s="921"/>
      <c r="F3" s="921"/>
      <c r="G3" s="921"/>
      <c r="H3" s="941"/>
      <c r="I3" s="921"/>
      <c r="J3" s="473"/>
      <c r="K3" s="473"/>
      <c r="L3" s="473"/>
    </row>
    <row r="4" spans="1:20" ht="18" customHeight="1">
      <c r="A4" s="472"/>
      <c r="B4" s="472"/>
      <c r="C4" s="472"/>
      <c r="D4" s="472"/>
      <c r="E4" s="472"/>
      <c r="F4" s="472"/>
      <c r="G4" s="472"/>
      <c r="H4" s="472"/>
      <c r="I4" s="472"/>
      <c r="J4" s="473"/>
      <c r="K4" s="473"/>
      <c r="L4" s="473"/>
    </row>
    <row r="5" spans="1:20" ht="18">
      <c r="B5" s="472" t="s">
        <v>185</v>
      </c>
      <c r="C5" s="472"/>
      <c r="D5" s="574"/>
      <c r="E5" s="574" t="s">
        <v>187</v>
      </c>
      <c r="F5" s="574" t="s">
        <v>189</v>
      </c>
      <c r="G5" s="574" t="s">
        <v>192</v>
      </c>
      <c r="H5" s="574" t="s">
        <v>195</v>
      </c>
      <c r="I5" s="575"/>
    </row>
    <row r="6" spans="1:20">
      <c r="B6" s="573"/>
      <c r="C6" s="573"/>
      <c r="D6" s="573"/>
      <c r="E6" s="573"/>
      <c r="F6" s="573"/>
      <c r="G6" s="573"/>
      <c r="H6" s="574" t="s">
        <v>690</v>
      </c>
      <c r="I6" s="473"/>
      <c r="T6" s="574"/>
    </row>
    <row r="7" spans="1:20" ht="31.5">
      <c r="A7" s="576" t="s">
        <v>691</v>
      </c>
      <c r="B7" s="576" t="s">
        <v>692</v>
      </c>
      <c r="C7" s="577"/>
      <c r="D7" s="578"/>
      <c r="E7" s="579" t="s">
        <v>386</v>
      </c>
      <c r="F7" s="579" t="s">
        <v>693</v>
      </c>
      <c r="G7" s="579" t="s">
        <v>694</v>
      </c>
      <c r="H7" s="579" t="s">
        <v>818</v>
      </c>
      <c r="I7" s="577"/>
      <c r="T7" s="574"/>
    </row>
    <row r="8" spans="1:20">
      <c r="B8" s="580"/>
      <c r="D8" s="573"/>
      <c r="H8" s="473"/>
      <c r="I8" s="473"/>
      <c r="L8" s="581"/>
    </row>
    <row r="9" spans="1:20" ht="20.25" customHeight="1">
      <c r="A9" s="473">
        <v>1</v>
      </c>
      <c r="B9" s="473" t="s">
        <v>717</v>
      </c>
      <c r="D9" s="573"/>
      <c r="E9" s="30">
        <f>F25</f>
        <v>26324.630991035643</v>
      </c>
      <c r="F9" s="30">
        <f t="shared" ref="F9:G9" si="0">G25</f>
        <v>0</v>
      </c>
      <c r="G9" s="30">
        <f t="shared" si="0"/>
        <v>0</v>
      </c>
      <c r="H9" s="30"/>
      <c r="I9" s="473" t="s">
        <v>696</v>
      </c>
    </row>
    <row r="10" spans="1:20" ht="20.25" customHeight="1">
      <c r="A10" s="473">
        <f t="shared" ref="A10:A16" si="1">+A9+1</f>
        <v>2</v>
      </c>
      <c r="B10" s="473" t="s">
        <v>722</v>
      </c>
      <c r="D10" s="573"/>
      <c r="E10" s="30">
        <f>F31</f>
        <v>-2830761.5840253085</v>
      </c>
      <c r="F10" s="30">
        <f>G31</f>
        <v>0</v>
      </c>
      <c r="G10" s="30">
        <f>H31</f>
        <v>0</v>
      </c>
      <c r="H10" s="30"/>
      <c r="I10" s="473" t="s">
        <v>819</v>
      </c>
    </row>
    <row r="11" spans="1:20" ht="20.25" customHeight="1">
      <c r="A11" s="473">
        <f t="shared" si="1"/>
        <v>3</v>
      </c>
      <c r="B11" s="473" t="s">
        <v>699</v>
      </c>
      <c r="D11" s="573"/>
      <c r="E11" s="30">
        <f>F37</f>
        <v>0</v>
      </c>
      <c r="F11" s="30">
        <f>G37</f>
        <v>0</v>
      </c>
      <c r="G11" s="30">
        <f>H37</f>
        <v>0</v>
      </c>
      <c r="H11" s="30"/>
      <c r="I11" s="473" t="s">
        <v>820</v>
      </c>
    </row>
    <row r="12" spans="1:20" ht="20.25" customHeight="1">
      <c r="A12" s="473">
        <f t="shared" si="1"/>
        <v>4</v>
      </c>
      <c r="B12" s="473" t="s">
        <v>701</v>
      </c>
      <c r="D12" s="573"/>
      <c r="E12" s="30">
        <f>SUM(E9:E11)</f>
        <v>-2804436.9530342729</v>
      </c>
      <c r="F12" s="30">
        <f>SUM(F9:F11)</f>
        <v>0</v>
      </c>
      <c r="G12" s="30">
        <f>SUM(G9:G11)</f>
        <v>0</v>
      </c>
      <c r="H12" s="30"/>
      <c r="I12" s="582" t="s">
        <v>702</v>
      </c>
    </row>
    <row r="13" spans="1:20" ht="20.25" customHeight="1">
      <c r="A13" s="473">
        <f t="shared" si="1"/>
        <v>5</v>
      </c>
      <c r="B13" s="473" t="s">
        <v>742</v>
      </c>
      <c r="D13" s="573"/>
      <c r="G13" s="149">
        <v>0</v>
      </c>
      <c r="H13" s="473"/>
      <c r="I13" s="473" t="s">
        <v>529</v>
      </c>
    </row>
    <row r="14" spans="1:20" ht="20.25" customHeight="1">
      <c r="A14" s="473">
        <f t="shared" si="1"/>
        <v>6</v>
      </c>
      <c r="B14" s="473" t="s">
        <v>704</v>
      </c>
      <c r="D14" s="573"/>
      <c r="F14" s="583">
        <v>0</v>
      </c>
      <c r="H14" s="473"/>
      <c r="I14" s="473" t="s">
        <v>705</v>
      </c>
    </row>
    <row r="15" spans="1:20" ht="20.25" customHeight="1">
      <c r="A15" s="473">
        <f t="shared" si="1"/>
        <v>7</v>
      </c>
      <c r="B15" s="473" t="s">
        <v>706</v>
      </c>
      <c r="D15" s="573"/>
      <c r="E15" s="583">
        <v>1</v>
      </c>
      <c r="F15" s="583"/>
      <c r="H15" s="473"/>
      <c r="I15" s="584">
        <v>1</v>
      </c>
    </row>
    <row r="16" spans="1:20" ht="38.1" customHeight="1">
      <c r="A16" s="473">
        <f t="shared" si="1"/>
        <v>8</v>
      </c>
      <c r="B16" s="473" t="s">
        <v>821</v>
      </c>
      <c r="D16" s="573"/>
      <c r="E16" s="30">
        <f>+E12*E15</f>
        <v>-2804436.9530342729</v>
      </c>
      <c r="F16" s="30">
        <f>+F14*F12</f>
        <v>0</v>
      </c>
      <c r="G16" s="30">
        <f>+G13*G12</f>
        <v>0</v>
      </c>
      <c r="H16" s="30">
        <f>+E16+F16+G16</f>
        <v>-2804436.9530342729</v>
      </c>
      <c r="I16" s="585" t="s">
        <v>708</v>
      </c>
    </row>
    <row r="17" spans="1:17">
      <c r="B17" s="473"/>
      <c r="D17" s="573"/>
      <c r="E17" s="30"/>
      <c r="F17" s="30"/>
      <c r="G17" s="30"/>
      <c r="H17" s="30"/>
      <c r="I17" s="585"/>
    </row>
    <row r="18" spans="1:17">
      <c r="B18" s="473"/>
      <c r="D18" s="582"/>
      <c r="G18" s="30"/>
      <c r="I18" s="574"/>
    </row>
    <row r="19" spans="1:17">
      <c r="B19" s="472" t="s">
        <v>173</v>
      </c>
      <c r="C19" s="472" t="s">
        <v>367</v>
      </c>
      <c r="D19" s="472" t="s">
        <v>709</v>
      </c>
      <c r="E19" s="472" t="s">
        <v>710</v>
      </c>
      <c r="F19" s="472" t="s">
        <v>711</v>
      </c>
      <c r="G19" s="574" t="s">
        <v>712</v>
      </c>
      <c r="H19" s="574" t="s">
        <v>713</v>
      </c>
      <c r="I19" s="574"/>
    </row>
    <row r="20" spans="1:17" ht="31.5">
      <c r="A20" s="586"/>
      <c r="B20" s="587" t="s">
        <v>714</v>
      </c>
      <c r="C20" s="587" t="s">
        <v>715</v>
      </c>
      <c r="D20" s="587" t="s">
        <v>291</v>
      </c>
      <c r="E20" s="587" t="s">
        <v>716</v>
      </c>
      <c r="F20" s="587" t="s">
        <v>386</v>
      </c>
      <c r="G20" s="587" t="s">
        <v>693</v>
      </c>
      <c r="H20" s="587" t="s">
        <v>694</v>
      </c>
      <c r="I20" s="587"/>
      <c r="Q20" s="574"/>
    </row>
    <row r="21" spans="1:17">
      <c r="A21" s="473" t="s">
        <v>717</v>
      </c>
      <c r="D21" s="472"/>
      <c r="E21" s="472"/>
      <c r="F21" s="472"/>
      <c r="G21" s="573"/>
      <c r="Q21" s="574"/>
    </row>
    <row r="22" spans="1:17" ht="20.25" customHeight="1">
      <c r="A22" s="580">
        <f>A16+1</f>
        <v>9</v>
      </c>
      <c r="B22" s="468" t="s">
        <v>718</v>
      </c>
      <c r="C22" s="473" t="s">
        <v>293</v>
      </c>
      <c r="D22" s="588">
        <v>2024</v>
      </c>
      <c r="E22" s="149">
        <f>'6c- ADIT BOY'!C54</f>
        <v>-5348195.9196760003</v>
      </c>
      <c r="F22" s="30">
        <f>'6c- ADIT BOY'!E54</f>
        <v>-5348195.9196760003</v>
      </c>
      <c r="G22" s="149">
        <f>'6c- ADIT BOY'!F54</f>
        <v>0</v>
      </c>
      <c r="H22" s="149">
        <f>'6c- ADIT BOY'!G54</f>
        <v>0</v>
      </c>
      <c r="I22" s="589"/>
    </row>
    <row r="23" spans="1:17" ht="20.25" customHeight="1">
      <c r="A23" s="580">
        <f>A22+1</f>
        <v>10</v>
      </c>
      <c r="B23" s="468" t="s">
        <v>822</v>
      </c>
      <c r="C23" s="473" t="s">
        <v>293</v>
      </c>
      <c r="D23" s="588">
        <v>2025</v>
      </c>
      <c r="E23" s="149">
        <f>'6d- ADIT EOY'!C54-'6d- ADIT EOY'!C50</f>
        <v>0</v>
      </c>
      <c r="F23" s="30">
        <f>'6d- ADIT EOY'!E54-'6d- ADIT EOY'!E50</f>
        <v>0</v>
      </c>
      <c r="G23" s="149">
        <f>'6d- ADIT EOY'!F54-'6d- ADIT EOY'!F50</f>
        <v>0</v>
      </c>
      <c r="H23" s="149">
        <f>'6d- ADIT EOY'!G54-'6d- ADIT EOY'!G50</f>
        <v>0</v>
      </c>
      <c r="I23" s="589"/>
    </row>
    <row r="24" spans="1:17" ht="20.25" customHeight="1">
      <c r="A24" s="580">
        <f>A23+1</f>
        <v>11</v>
      </c>
      <c r="B24" s="468" t="s">
        <v>823</v>
      </c>
      <c r="C24" s="473" t="s">
        <v>293</v>
      </c>
      <c r="D24" s="588">
        <v>2025</v>
      </c>
      <c r="E24" s="30">
        <f>'6f-ADIT True-up Proration'!F22</f>
        <v>-716160.768576</v>
      </c>
      <c r="F24" s="30">
        <f>'6f-ADIT True-up Proration'!N21</f>
        <v>26324.630991035643</v>
      </c>
      <c r="G24" s="30">
        <f>'6f-ADIT True-up Proration'!W21</f>
        <v>0</v>
      </c>
      <c r="H24" s="30">
        <f>'6f-ADIT True-up Proration'!AF21</f>
        <v>0</v>
      </c>
      <c r="I24" s="646"/>
    </row>
    <row r="25" spans="1:17">
      <c r="A25" s="580">
        <f>A24+1</f>
        <v>12</v>
      </c>
      <c r="B25" s="468" t="s">
        <v>824</v>
      </c>
      <c r="D25" s="647"/>
      <c r="E25" s="30">
        <f>E23+E24</f>
        <v>-716160.768576</v>
      </c>
      <c r="F25" s="30">
        <f>F23+F24</f>
        <v>26324.630991035643</v>
      </c>
      <c r="G25" s="30">
        <f t="shared" ref="G25:H25" si="2">G23+G24</f>
        <v>0</v>
      </c>
      <c r="H25" s="30">
        <f t="shared" si="2"/>
        <v>0</v>
      </c>
      <c r="I25" s="646"/>
    </row>
    <row r="26" spans="1:17">
      <c r="A26" s="580"/>
      <c r="G26" s="573"/>
    </row>
    <row r="27" spans="1:17" ht="20.25" customHeight="1">
      <c r="A27" s="473" t="s">
        <v>722</v>
      </c>
      <c r="G27" s="573"/>
    </row>
    <row r="28" spans="1:17" ht="20.25" customHeight="1">
      <c r="A28" s="580">
        <f>A25+1</f>
        <v>13</v>
      </c>
      <c r="B28" s="468" t="s">
        <v>723</v>
      </c>
      <c r="C28" s="473" t="s">
        <v>293</v>
      </c>
      <c r="D28" s="588">
        <f>+D22</f>
        <v>2024</v>
      </c>
      <c r="E28" s="30">
        <f>'6c- ADIT BOY'!C78</f>
        <v>-2960097.7625569953</v>
      </c>
      <c r="F28" s="30">
        <f>'6c- ADIT BOY'!E78</f>
        <v>-2960097.7625569953</v>
      </c>
      <c r="G28" s="30">
        <f>'6c- ADIT BOY'!F78</f>
        <v>0</v>
      </c>
      <c r="H28" s="30">
        <f>'6c- ADIT BOY'!G78</f>
        <v>0</v>
      </c>
      <c r="I28" s="589"/>
    </row>
    <row r="29" spans="1:17" ht="20.25" customHeight="1">
      <c r="A29" s="580">
        <f>A28+1</f>
        <v>14</v>
      </c>
      <c r="B29" s="468" t="s">
        <v>825</v>
      </c>
      <c r="C29" s="473" t="s">
        <v>293</v>
      </c>
      <c r="D29" s="588">
        <f t="shared" ref="D29:D30" si="3">+D23</f>
        <v>2025</v>
      </c>
      <c r="E29" s="30">
        <f>'6d- ADIT EOY'!C78-'6d- ADIT EOY'!C74</f>
        <v>-2680899.9005713928</v>
      </c>
      <c r="F29" s="30">
        <f>'6d- ADIT EOY'!E78-'6d- ADIT EOY'!E74</f>
        <v>-2680899.9005713928</v>
      </c>
      <c r="G29" s="30">
        <f>'6d- ADIT EOY'!F78-'6d- ADIT EOY'!F74</f>
        <v>0</v>
      </c>
      <c r="H29" s="30">
        <f>'6d- ADIT EOY'!G78-'6d- ADIT EOY'!G74</f>
        <v>0</v>
      </c>
      <c r="I29" s="589"/>
    </row>
    <row r="30" spans="1:17">
      <c r="A30" s="580">
        <f t="shared" ref="A30:A31" si="4">A29+1</f>
        <v>15</v>
      </c>
      <c r="B30" s="468" t="s">
        <v>826</v>
      </c>
      <c r="C30" s="473" t="s">
        <v>293</v>
      </c>
      <c r="D30" s="588">
        <f t="shared" si="3"/>
        <v>2025</v>
      </c>
      <c r="E30" s="30">
        <f>'6f-ADIT True-up Proration'!F38</f>
        <v>279197.86198560247</v>
      </c>
      <c r="F30" s="30">
        <f>'6f-ADIT True-up Proration'!N37</f>
        <v>-149861.68345391584</v>
      </c>
      <c r="G30" s="30">
        <f>'6f-ADIT True-up Proration'!W37</f>
        <v>0</v>
      </c>
      <c r="H30" s="30">
        <f>'6f-ADIT True-up Proration'!AF37</f>
        <v>0</v>
      </c>
      <c r="I30" s="589"/>
    </row>
    <row r="31" spans="1:17">
      <c r="A31" s="580">
        <f t="shared" si="4"/>
        <v>16</v>
      </c>
      <c r="B31" s="468" t="s">
        <v>827</v>
      </c>
      <c r="E31" s="476">
        <f>E29+E30</f>
        <v>-2401702.0385857904</v>
      </c>
      <c r="F31" s="476">
        <f>F29+F30</f>
        <v>-2830761.5840253085</v>
      </c>
      <c r="G31" s="476">
        <f t="shared" ref="G31:H31" si="5">G29+G30</f>
        <v>0</v>
      </c>
      <c r="H31" s="476">
        <f t="shared" si="5"/>
        <v>0</v>
      </c>
      <c r="I31" s="591"/>
    </row>
    <row r="32" spans="1:17" ht="20.25" customHeight="1">
      <c r="A32" s="580"/>
      <c r="G32" s="573"/>
    </row>
    <row r="33" spans="1:9" ht="20.25" customHeight="1">
      <c r="A33" s="473" t="s">
        <v>699</v>
      </c>
      <c r="G33" s="573"/>
    </row>
    <row r="34" spans="1:9" ht="20.25" customHeight="1">
      <c r="A34" s="580">
        <f>A31+1</f>
        <v>17</v>
      </c>
      <c r="B34" s="468" t="s">
        <v>727</v>
      </c>
      <c r="C34" s="473" t="s">
        <v>293</v>
      </c>
      <c r="D34" s="588">
        <f>+D22</f>
        <v>2024</v>
      </c>
      <c r="E34" s="30">
        <f>'6c- ADIT BOY'!C32</f>
        <v>0</v>
      </c>
      <c r="F34" s="30">
        <f>'6c- ADIT BOY'!E32</f>
        <v>0</v>
      </c>
      <c r="G34" s="30">
        <f>'6c- ADIT BOY'!F32</f>
        <v>0</v>
      </c>
      <c r="H34" s="30">
        <f>'6c- ADIT BOY'!G32</f>
        <v>0</v>
      </c>
      <c r="I34" s="589"/>
    </row>
    <row r="35" spans="1:9">
      <c r="A35" s="580">
        <f>A34+1</f>
        <v>18</v>
      </c>
      <c r="B35" s="468" t="s">
        <v>828</v>
      </c>
      <c r="C35" s="473" t="s">
        <v>293</v>
      </c>
      <c r="D35" s="588">
        <f t="shared" ref="D35:D36" si="6">+D23</f>
        <v>2025</v>
      </c>
      <c r="E35" s="30">
        <f>'6d- ADIT EOY'!C32-'6d- ADIT EOY'!C28</f>
        <v>0</v>
      </c>
      <c r="F35" s="30">
        <f>'6d- ADIT EOY'!E32-'6d- ADIT EOY'!E28</f>
        <v>0</v>
      </c>
      <c r="G35" s="30">
        <f>'6d- ADIT EOY'!F32-'6d- ADIT EOY'!F28</f>
        <v>0</v>
      </c>
      <c r="H35" s="30">
        <f>'6d- ADIT EOY'!G32-'6d- ADIT EOY'!G28</f>
        <v>0</v>
      </c>
      <c r="I35" s="589"/>
    </row>
    <row r="36" spans="1:9">
      <c r="A36" s="580">
        <f t="shared" ref="A36:A37" si="7">A35+1</f>
        <v>19</v>
      </c>
      <c r="B36" s="468" t="s">
        <v>829</v>
      </c>
      <c r="C36" s="473" t="s">
        <v>293</v>
      </c>
      <c r="D36" s="588">
        <f t="shared" si="6"/>
        <v>2025</v>
      </c>
      <c r="E36" s="30">
        <f>'6f-ADIT True-up Proration'!F54</f>
        <v>0</v>
      </c>
      <c r="F36" s="30">
        <f>'6f-ADIT True-up Proration'!N53</f>
        <v>0</v>
      </c>
      <c r="G36" s="30">
        <f>'6f-ADIT True-up Proration'!W53</f>
        <v>0</v>
      </c>
      <c r="H36" s="30">
        <f>'6f-ADIT True-up Proration'!AF53</f>
        <v>0</v>
      </c>
      <c r="I36" s="589"/>
    </row>
    <row r="37" spans="1:9">
      <c r="A37" s="580">
        <f t="shared" si="7"/>
        <v>20</v>
      </c>
      <c r="B37" s="468" t="s">
        <v>830</v>
      </c>
      <c r="E37" s="476">
        <f>E35+E36</f>
        <v>0</v>
      </c>
      <c r="F37" s="476">
        <f t="shared" ref="F37:H37" si="8">F35+F36</f>
        <v>0</v>
      </c>
      <c r="G37" s="476">
        <f t="shared" si="8"/>
        <v>0</v>
      </c>
      <c r="H37" s="476">
        <f t="shared" si="8"/>
        <v>0</v>
      </c>
      <c r="I37" s="591"/>
    </row>
    <row r="38" spans="1:9">
      <c r="D38" s="380"/>
    </row>
    <row r="39" spans="1:9">
      <c r="D39" s="380"/>
    </row>
    <row r="40" spans="1:9">
      <c r="D40" s="380"/>
    </row>
    <row r="41" spans="1:9">
      <c r="D41" s="380"/>
    </row>
    <row r="42" spans="1:9">
      <c r="D42" s="380"/>
    </row>
    <row r="43" spans="1:9">
      <c r="D43" s="380"/>
    </row>
    <row r="44" spans="1:9">
      <c r="D44" s="380"/>
    </row>
    <row r="45" spans="1:9">
      <c r="D45" s="380"/>
    </row>
    <row r="46" spans="1:9">
      <c r="B46" s="473"/>
      <c r="D46" s="380"/>
    </row>
    <row r="47" spans="1:9">
      <c r="D47" s="380"/>
    </row>
    <row r="48" spans="1:9">
      <c r="B48" s="473"/>
      <c r="D48" s="380"/>
    </row>
    <row r="66" spans="10:10">
      <c r="J66" s="473"/>
    </row>
    <row r="152" spans="8:8">
      <c r="H152" s="592"/>
    </row>
  </sheetData>
  <mergeCells count="3">
    <mergeCell ref="A1:I1"/>
    <mergeCell ref="A2:I2"/>
    <mergeCell ref="A3:I3"/>
  </mergeCells>
  <pageMargins left="0.7" right="0.7" top="0.75" bottom="0.75" header="0.3" footer="0.3"/>
  <pageSetup scale="48"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5C92-EFAB-49FF-8B25-930DAB61ED64}">
  <dimension ref="A1:AG74"/>
  <sheetViews>
    <sheetView view="pageBreakPreview" zoomScale="80" zoomScaleNormal="90" zoomScaleSheetLayoutView="80" workbookViewId="0">
      <selection activeCell="E117" sqref="E117"/>
    </sheetView>
  </sheetViews>
  <sheetFormatPr defaultColWidth="8.88671875" defaultRowHeight="12.75"/>
  <cols>
    <col min="1" max="1" width="5.5546875" style="648" customWidth="1"/>
    <col min="2" max="2" width="25.109375" style="653" customWidth="1"/>
    <col min="3" max="3" width="10.5546875" style="648" customWidth="1"/>
    <col min="4" max="4" width="9.88671875" style="648" customWidth="1"/>
    <col min="5" max="5" width="10" style="648" customWidth="1"/>
    <col min="6" max="32" width="10.5546875" style="648" customWidth="1"/>
    <col min="33" max="16384" width="8.88671875" style="648"/>
  </cols>
  <sheetData>
    <row r="1" spans="1:33">
      <c r="A1" s="948" t="s">
        <v>831</v>
      </c>
      <c r="B1" s="948"/>
      <c r="C1" s="948"/>
      <c r="D1" s="948"/>
      <c r="E1" s="948"/>
      <c r="F1" s="948"/>
      <c r="G1" s="948"/>
      <c r="H1" s="948"/>
      <c r="I1" s="948"/>
      <c r="J1" s="948"/>
      <c r="K1" s="948"/>
      <c r="L1" s="948"/>
      <c r="M1" s="948"/>
      <c r="N1" s="948"/>
      <c r="P1" s="649"/>
    </row>
    <row r="2" spans="1:33">
      <c r="A2" s="948" t="str">
        <f>'6e-ADIT True-up'!A2:I2</f>
        <v>Horizon West Transmission, LLC</v>
      </c>
      <c r="B2" s="948"/>
      <c r="C2" s="948"/>
      <c r="D2" s="948"/>
      <c r="E2" s="948"/>
      <c r="F2" s="948"/>
      <c r="G2" s="948"/>
      <c r="H2" s="948"/>
      <c r="I2" s="948"/>
      <c r="J2" s="948"/>
      <c r="K2" s="948"/>
      <c r="L2" s="948"/>
      <c r="M2" s="948"/>
      <c r="N2" s="948"/>
      <c r="O2" s="649"/>
      <c r="P2" s="650"/>
      <c r="Q2" s="649"/>
    </row>
    <row r="3" spans="1:33">
      <c r="A3" s="948" t="str">
        <f>'Appendix III'!M7</f>
        <v>For the 12 months ended 12/31/2025</v>
      </c>
      <c r="B3" s="948"/>
      <c r="C3" s="948"/>
      <c r="D3" s="948"/>
      <c r="E3" s="948"/>
      <c r="F3" s="948"/>
      <c r="G3" s="948"/>
      <c r="H3" s="948"/>
      <c r="I3" s="948"/>
      <c r="J3" s="948"/>
      <c r="K3" s="948"/>
      <c r="L3" s="948"/>
      <c r="M3" s="948"/>
      <c r="N3" s="948"/>
      <c r="O3" s="649"/>
      <c r="P3" s="650"/>
      <c r="Q3" s="651"/>
      <c r="R3" s="651"/>
    </row>
    <row r="4" spans="1:33" ht="13.5" thickBot="1">
      <c r="A4" s="652"/>
      <c r="B4" s="652"/>
      <c r="C4" s="652"/>
      <c r="D4" s="652"/>
      <c r="E4" s="652"/>
      <c r="F4" s="652"/>
      <c r="G4" s="652"/>
      <c r="H4" s="652"/>
      <c r="I4" s="652"/>
      <c r="J4" s="652"/>
      <c r="K4" s="652"/>
      <c r="L4" s="652"/>
      <c r="M4" s="652"/>
      <c r="N4" s="652"/>
      <c r="O4" s="649"/>
      <c r="P4" s="651"/>
      <c r="Q4" s="651"/>
      <c r="R4" s="651"/>
    </row>
    <row r="5" spans="1:33">
      <c r="F5" s="945" t="s">
        <v>58</v>
      </c>
      <c r="G5" s="946"/>
      <c r="H5" s="946"/>
      <c r="I5" s="946"/>
      <c r="J5" s="946"/>
      <c r="K5" s="946"/>
      <c r="L5" s="946"/>
      <c r="M5" s="946"/>
      <c r="N5" s="947"/>
      <c r="O5" s="945" t="s">
        <v>693</v>
      </c>
      <c r="P5" s="946"/>
      <c r="Q5" s="946"/>
      <c r="R5" s="946"/>
      <c r="S5" s="946"/>
      <c r="T5" s="946"/>
      <c r="U5" s="946"/>
      <c r="V5" s="946"/>
      <c r="W5" s="947"/>
      <c r="X5" s="945" t="s">
        <v>694</v>
      </c>
      <c r="Y5" s="946"/>
      <c r="Z5" s="946"/>
      <c r="AA5" s="946"/>
      <c r="AB5" s="946"/>
      <c r="AC5" s="946"/>
      <c r="AD5" s="946"/>
      <c r="AE5" s="946"/>
      <c r="AF5" s="947"/>
      <c r="AG5" s="652"/>
    </row>
    <row r="6" spans="1:33">
      <c r="B6" s="652" t="s">
        <v>173</v>
      </c>
      <c r="C6" s="652" t="s">
        <v>367</v>
      </c>
      <c r="D6" s="652" t="s">
        <v>709</v>
      </c>
      <c r="E6" s="652" t="s">
        <v>710</v>
      </c>
      <c r="F6" s="654" t="s">
        <v>711</v>
      </c>
      <c r="G6" s="652" t="s">
        <v>712</v>
      </c>
      <c r="H6" s="652" t="s">
        <v>713</v>
      </c>
      <c r="I6" s="652" t="s">
        <v>779</v>
      </c>
      <c r="J6" s="655" t="s">
        <v>780</v>
      </c>
      <c r="K6" s="655" t="s">
        <v>781</v>
      </c>
      <c r="L6" s="655" t="s">
        <v>782</v>
      </c>
      <c r="M6" s="655" t="s">
        <v>832</v>
      </c>
      <c r="N6" s="656" t="s">
        <v>833</v>
      </c>
      <c r="O6" s="654" t="s">
        <v>711</v>
      </c>
      <c r="P6" s="652" t="s">
        <v>712</v>
      </c>
      <c r="Q6" s="652" t="s">
        <v>713</v>
      </c>
      <c r="R6" s="652" t="s">
        <v>779</v>
      </c>
      <c r="S6" s="655" t="s">
        <v>780</v>
      </c>
      <c r="T6" s="655" t="s">
        <v>781</v>
      </c>
      <c r="U6" s="655" t="s">
        <v>782</v>
      </c>
      <c r="V6" s="655" t="s">
        <v>832</v>
      </c>
      <c r="W6" s="656" t="s">
        <v>833</v>
      </c>
      <c r="X6" s="654" t="s">
        <v>711</v>
      </c>
      <c r="Y6" s="652" t="s">
        <v>712</v>
      </c>
      <c r="Z6" s="652" t="s">
        <v>713</v>
      </c>
      <c r="AA6" s="652" t="s">
        <v>779</v>
      </c>
      <c r="AB6" s="655" t="s">
        <v>780</v>
      </c>
      <c r="AC6" s="655" t="s">
        <v>781</v>
      </c>
      <c r="AD6" s="655" t="s">
        <v>782</v>
      </c>
      <c r="AE6" s="655" t="s">
        <v>832</v>
      </c>
      <c r="AF6" s="656" t="s">
        <v>833</v>
      </c>
    </row>
    <row r="7" spans="1:33" ht="63.75">
      <c r="A7" s="657"/>
      <c r="B7" s="658" t="s">
        <v>714</v>
      </c>
      <c r="C7" s="658" t="s">
        <v>715</v>
      </c>
      <c r="D7" s="658" t="s">
        <v>291</v>
      </c>
      <c r="E7" s="658" t="s">
        <v>783</v>
      </c>
      <c r="F7" s="659" t="s">
        <v>834</v>
      </c>
      <c r="G7" s="658" t="s">
        <v>835</v>
      </c>
      <c r="H7" s="658" t="s">
        <v>836</v>
      </c>
      <c r="I7" s="658" t="s">
        <v>837</v>
      </c>
      <c r="J7" s="658" t="s">
        <v>838</v>
      </c>
      <c r="K7" s="658" t="s">
        <v>839</v>
      </c>
      <c r="L7" s="658" t="s">
        <v>840</v>
      </c>
      <c r="M7" s="658" t="s">
        <v>841</v>
      </c>
      <c r="N7" s="660" t="s">
        <v>842</v>
      </c>
      <c r="O7" s="659" t="s">
        <v>834</v>
      </c>
      <c r="P7" s="658" t="s">
        <v>835</v>
      </c>
      <c r="Q7" s="658" t="s">
        <v>836</v>
      </c>
      <c r="R7" s="658" t="s">
        <v>837</v>
      </c>
      <c r="S7" s="658" t="s">
        <v>838</v>
      </c>
      <c r="T7" s="658" t="s">
        <v>839</v>
      </c>
      <c r="U7" s="658" t="s">
        <v>840</v>
      </c>
      <c r="V7" s="658" t="s">
        <v>841</v>
      </c>
      <c r="W7" s="660" t="s">
        <v>842</v>
      </c>
      <c r="X7" s="659" t="s">
        <v>834</v>
      </c>
      <c r="Y7" s="658" t="s">
        <v>835</v>
      </c>
      <c r="Z7" s="658" t="s">
        <v>836</v>
      </c>
      <c r="AA7" s="658" t="s">
        <v>837</v>
      </c>
      <c r="AB7" s="658" t="s">
        <v>838</v>
      </c>
      <c r="AC7" s="658" t="s">
        <v>839</v>
      </c>
      <c r="AD7" s="658" t="s">
        <v>840</v>
      </c>
      <c r="AE7" s="658" t="s">
        <v>841</v>
      </c>
      <c r="AF7" s="660" t="s">
        <v>842</v>
      </c>
      <c r="AG7" s="652"/>
    </row>
    <row r="8" spans="1:33">
      <c r="A8" s="648" t="s">
        <v>843</v>
      </c>
      <c r="D8" s="652"/>
      <c r="E8" s="652"/>
      <c r="F8" s="661"/>
      <c r="N8" s="662"/>
      <c r="O8" s="661"/>
      <c r="W8" s="662"/>
      <c r="X8" s="661"/>
      <c r="AF8" s="662"/>
      <c r="AG8" s="652"/>
    </row>
    <row r="9" spans="1:33">
      <c r="A9" s="663">
        <v>1</v>
      </c>
      <c r="B9" s="653" t="s">
        <v>844</v>
      </c>
      <c r="C9" s="648" t="s">
        <v>293</v>
      </c>
      <c r="D9" s="664">
        <v>2024</v>
      </c>
      <c r="E9" s="665">
        <f>365/365</f>
        <v>1</v>
      </c>
      <c r="F9" s="666"/>
      <c r="G9" s="667"/>
      <c r="H9" s="667">
        <f>'6c- ADIT BOY'!E54</f>
        <v>-5348195.9196760003</v>
      </c>
      <c r="I9" s="667"/>
      <c r="J9" s="667"/>
      <c r="K9" s="667"/>
      <c r="L9" s="667"/>
      <c r="M9" s="667"/>
      <c r="N9" s="668">
        <v>0</v>
      </c>
      <c r="O9" s="666"/>
      <c r="P9" s="667"/>
      <c r="Q9" s="667">
        <f>'6c- ADIT BOY'!F54</f>
        <v>0</v>
      </c>
      <c r="R9" s="667"/>
      <c r="S9" s="667"/>
      <c r="T9" s="667"/>
      <c r="U9" s="667"/>
      <c r="V9" s="667"/>
      <c r="W9" s="668">
        <v>0</v>
      </c>
      <c r="X9" s="666"/>
      <c r="Y9" s="667"/>
      <c r="Z9" s="667">
        <f>'6c- ADIT BOY'!G54</f>
        <v>0</v>
      </c>
      <c r="AA9" s="667"/>
      <c r="AB9" s="667"/>
      <c r="AC9" s="667"/>
      <c r="AD9" s="667"/>
      <c r="AE9" s="667"/>
      <c r="AF9" s="668">
        <v>0</v>
      </c>
    </row>
    <row r="10" spans="1:33">
      <c r="A10" s="663">
        <f t="shared" ref="A10:A22" si="0">+A9+1</f>
        <v>2</v>
      </c>
      <c r="B10" s="653" t="s">
        <v>790</v>
      </c>
      <c r="C10" s="648" t="s">
        <v>295</v>
      </c>
      <c r="D10" s="664">
        <v>2025</v>
      </c>
      <c r="E10" s="665">
        <f>335/365</f>
        <v>0.9178082191780822</v>
      </c>
      <c r="F10" s="666">
        <f>'6b-ADIT Projection Proration'!G10</f>
        <v>-59680.064047999993</v>
      </c>
      <c r="G10" s="667">
        <f>$E10*F10</f>
        <v>-54774.853304328761</v>
      </c>
      <c r="H10" s="667">
        <f>+G10+H9</f>
        <v>-5402970.7729803286</v>
      </c>
      <c r="I10" s="669">
        <v>0</v>
      </c>
      <c r="J10" s="667">
        <f t="shared" ref="J10:J21" si="1">I10-F10</f>
        <v>59680.064047999993</v>
      </c>
      <c r="K10" s="670">
        <f>IF(J10&gt;=0,+J10*0.5,0)</f>
        <v>29840.032023999996</v>
      </c>
      <c r="L10" s="667">
        <f t="shared" ref="L10:L12" si="2">IF(K10&gt;0,0,IF(I10&lt;0,0,(-(J10)*0.5)))</f>
        <v>0</v>
      </c>
      <c r="M10" s="667">
        <f t="shared" ref="M10:M14" si="3">IF(K10&gt;0,0,IF(I10&gt;0,0,(-(J10)*0.5)))</f>
        <v>0</v>
      </c>
      <c r="N10" s="671">
        <f>+N9+G10+K10-L10-M10</f>
        <v>-24934.821280328764</v>
      </c>
      <c r="O10" s="666">
        <f>'6b-ADIT Projection Proration'!I10</f>
        <v>0</v>
      </c>
      <c r="P10" s="667">
        <f t="shared" ref="P10:P21" si="4">$E10*O10</f>
        <v>0</v>
      </c>
      <c r="Q10" s="667">
        <f>+P10+Q9</f>
        <v>0</v>
      </c>
      <c r="R10" s="669">
        <v>0</v>
      </c>
      <c r="S10" s="667">
        <f t="shared" ref="S10:S21" si="5">R10-O10</f>
        <v>0</v>
      </c>
      <c r="T10" s="670">
        <f>IF(S10&gt;=0,+S10*E10,0)</f>
        <v>0</v>
      </c>
      <c r="U10" s="667">
        <f t="shared" ref="U10:U21" si="6">IF(T10&gt;0,0,IF(R10&lt;0,0,(-(S10)*($E10))))</f>
        <v>0</v>
      </c>
      <c r="V10" s="667">
        <f t="shared" ref="V10:V21" si="7">IF(T10&gt;0,0,IF(R10&gt;0,0,(-(S10)*($E10))))</f>
        <v>0</v>
      </c>
      <c r="W10" s="671">
        <f>+W9+P10+T10-U10-V10</f>
        <v>0</v>
      </c>
      <c r="X10" s="666">
        <f>'6b-ADIT Projection Proration'!K10</f>
        <v>0</v>
      </c>
      <c r="Y10" s="667">
        <f t="shared" ref="Y10:Y21" si="8">$E10*X10</f>
        <v>0</v>
      </c>
      <c r="Z10" s="667">
        <f>+Y10+Z9</f>
        <v>0</v>
      </c>
      <c r="AA10" s="669">
        <v>0</v>
      </c>
      <c r="AB10" s="667">
        <f t="shared" ref="AB10:AB21" si="9">AA10-X10</f>
        <v>0</v>
      </c>
      <c r="AC10" s="670">
        <f>IF(AB10&gt;=0,+AB10*E10,0)</f>
        <v>0</v>
      </c>
      <c r="AD10" s="667">
        <f t="shared" ref="AD10:AD21" si="10">IF(AC10&gt;0,0,IF(AA10&lt;0,0,(-(AB10)*($E10))))</f>
        <v>0</v>
      </c>
      <c r="AE10" s="667">
        <f t="shared" ref="AE10:AE21" si="11">IF(AC10&gt;0,0,IF(AA10&gt;0,0,(-(AB10)*($E10))))</f>
        <v>0</v>
      </c>
      <c r="AF10" s="671">
        <f t="shared" ref="AF10:AF12" si="12">+AF9+Y10+AC10-AD10-AE10</f>
        <v>0</v>
      </c>
    </row>
    <row r="11" spans="1:33">
      <c r="A11" s="663">
        <f t="shared" si="0"/>
        <v>3</v>
      </c>
      <c r="B11" s="653" t="s">
        <v>790</v>
      </c>
      <c r="C11" s="648" t="s">
        <v>297</v>
      </c>
      <c r="D11" s="664">
        <f>+$D$10</f>
        <v>2025</v>
      </c>
      <c r="E11" s="665">
        <f>307/365</f>
        <v>0.84109589041095889</v>
      </c>
      <c r="F11" s="666">
        <f>'6b-ADIT Projection Proration'!G11</f>
        <v>-59680.064047999993</v>
      </c>
      <c r="G11" s="667">
        <f t="shared" ref="G11:G21" si="13">$E11*F11</f>
        <v>-50196.656610235608</v>
      </c>
      <c r="H11" s="667">
        <f t="shared" ref="H11:H21" si="14">+G11+H10</f>
        <v>-5453167.4295905642</v>
      </c>
      <c r="I11" s="669">
        <v>0</v>
      </c>
      <c r="J11" s="667">
        <f t="shared" si="1"/>
        <v>59680.064047999993</v>
      </c>
      <c r="K11" s="670">
        <f t="shared" ref="K11:K12" si="15">IF(J11&gt;=0,+J11*0.5,0)</f>
        <v>29840.032023999996</v>
      </c>
      <c r="L11" s="667">
        <f t="shared" si="2"/>
        <v>0</v>
      </c>
      <c r="M11" s="667">
        <f t="shared" si="3"/>
        <v>0</v>
      </c>
      <c r="N11" s="671">
        <f>+N10+G11+K11-L11-M11</f>
        <v>-45291.445866564376</v>
      </c>
      <c r="O11" s="666">
        <f>'6b-ADIT Projection Proration'!I11</f>
        <v>0</v>
      </c>
      <c r="P11" s="667">
        <f t="shared" si="4"/>
        <v>0</v>
      </c>
      <c r="Q11" s="667">
        <f t="shared" ref="Q11:Q21" si="16">+P11+Q10</f>
        <v>0</v>
      </c>
      <c r="R11" s="669">
        <v>0</v>
      </c>
      <c r="S11" s="667">
        <f t="shared" si="5"/>
        <v>0</v>
      </c>
      <c r="T11" s="670">
        <f t="shared" ref="T11:T21" si="17">IF(S11&gt;=0,+S11*E11,0)</f>
        <v>0</v>
      </c>
      <c r="U11" s="667">
        <f t="shared" si="6"/>
        <v>0</v>
      </c>
      <c r="V11" s="667">
        <f t="shared" si="7"/>
        <v>0</v>
      </c>
      <c r="W11" s="671">
        <f t="shared" ref="W11:W12" si="18">+W10+P11+T11-U11-V11</f>
        <v>0</v>
      </c>
      <c r="X11" s="666">
        <f>'6b-ADIT Projection Proration'!K11</f>
        <v>0</v>
      </c>
      <c r="Y11" s="667">
        <f t="shared" si="8"/>
        <v>0</v>
      </c>
      <c r="Z11" s="667">
        <f t="shared" ref="Z11:Z21" si="19">+Y11+Z10</f>
        <v>0</v>
      </c>
      <c r="AA11" s="669">
        <v>0</v>
      </c>
      <c r="AB11" s="667">
        <f t="shared" si="9"/>
        <v>0</v>
      </c>
      <c r="AC11" s="670">
        <f t="shared" ref="AC11:AC21" si="20">IF(AB11&gt;=0,+AB11*E11,0)</f>
        <v>0</v>
      </c>
      <c r="AD11" s="667">
        <f t="shared" si="10"/>
        <v>0</v>
      </c>
      <c r="AE11" s="667">
        <f t="shared" si="11"/>
        <v>0</v>
      </c>
      <c r="AF11" s="671">
        <f t="shared" si="12"/>
        <v>0</v>
      </c>
    </row>
    <row r="12" spans="1:33">
      <c r="A12" s="663">
        <f t="shared" si="0"/>
        <v>4</v>
      </c>
      <c r="B12" s="653" t="s">
        <v>790</v>
      </c>
      <c r="C12" s="648" t="s">
        <v>298</v>
      </c>
      <c r="D12" s="664">
        <f t="shared" ref="D12:D21" si="21">+$D$10</f>
        <v>2025</v>
      </c>
      <c r="E12" s="665">
        <f>276/365</f>
        <v>0.75616438356164384</v>
      </c>
      <c r="F12" s="666">
        <f>'6b-ADIT Projection Proration'!G12</f>
        <v>-59680.064047999993</v>
      </c>
      <c r="G12" s="667">
        <f t="shared" si="13"/>
        <v>-45127.938841775336</v>
      </c>
      <c r="H12" s="667">
        <f t="shared" si="14"/>
        <v>-5498295.3684323393</v>
      </c>
      <c r="I12" s="669">
        <v>0</v>
      </c>
      <c r="J12" s="667">
        <f t="shared" si="1"/>
        <v>59680.064047999993</v>
      </c>
      <c r="K12" s="670">
        <f t="shared" si="15"/>
        <v>29840.032023999996</v>
      </c>
      <c r="L12" s="667">
        <f t="shared" si="2"/>
        <v>0</v>
      </c>
      <c r="M12" s="667">
        <f t="shared" si="3"/>
        <v>0</v>
      </c>
      <c r="N12" s="671">
        <f t="shared" ref="N12" si="22">+N11+G12+K12-L12-M12</f>
        <v>-60579.352684339712</v>
      </c>
      <c r="O12" s="666">
        <f>'6b-ADIT Projection Proration'!I12</f>
        <v>0</v>
      </c>
      <c r="P12" s="667">
        <f t="shared" si="4"/>
        <v>0</v>
      </c>
      <c r="Q12" s="667">
        <f t="shared" si="16"/>
        <v>0</v>
      </c>
      <c r="R12" s="669">
        <v>0</v>
      </c>
      <c r="S12" s="667">
        <f t="shared" si="5"/>
        <v>0</v>
      </c>
      <c r="T12" s="670">
        <f t="shared" si="17"/>
        <v>0</v>
      </c>
      <c r="U12" s="667">
        <f t="shared" si="6"/>
        <v>0</v>
      </c>
      <c r="V12" s="667">
        <f t="shared" si="7"/>
        <v>0</v>
      </c>
      <c r="W12" s="671">
        <f t="shared" si="18"/>
        <v>0</v>
      </c>
      <c r="X12" s="666">
        <f>'6b-ADIT Projection Proration'!K12</f>
        <v>0</v>
      </c>
      <c r="Y12" s="667">
        <f t="shared" si="8"/>
        <v>0</v>
      </c>
      <c r="Z12" s="667">
        <f t="shared" si="19"/>
        <v>0</v>
      </c>
      <c r="AA12" s="669">
        <v>0</v>
      </c>
      <c r="AB12" s="667">
        <f t="shared" si="9"/>
        <v>0</v>
      </c>
      <c r="AC12" s="670">
        <f t="shared" si="20"/>
        <v>0</v>
      </c>
      <c r="AD12" s="667">
        <f t="shared" si="10"/>
        <v>0</v>
      </c>
      <c r="AE12" s="667">
        <f t="shared" si="11"/>
        <v>0</v>
      </c>
      <c r="AF12" s="671">
        <f t="shared" si="12"/>
        <v>0</v>
      </c>
    </row>
    <row r="13" spans="1:33">
      <c r="A13" s="663">
        <f t="shared" si="0"/>
        <v>5</v>
      </c>
      <c r="B13" s="653" t="s">
        <v>790</v>
      </c>
      <c r="C13" s="648" t="s">
        <v>299</v>
      </c>
      <c r="D13" s="664">
        <f t="shared" si="21"/>
        <v>2025</v>
      </c>
      <c r="E13" s="665">
        <f>246/365</f>
        <v>0.67397260273972603</v>
      </c>
      <c r="F13" s="666">
        <f>'6b-ADIT Projection Proration'!G13</f>
        <v>-59680.064047999993</v>
      </c>
      <c r="G13" s="667">
        <f t="shared" si="13"/>
        <v>-40222.728098104104</v>
      </c>
      <c r="H13" s="667">
        <f t="shared" si="14"/>
        <v>-5538518.0965304431</v>
      </c>
      <c r="I13" s="669">
        <v>0</v>
      </c>
      <c r="J13" s="667">
        <f>I13-F13</f>
        <v>59680.064047999993</v>
      </c>
      <c r="K13" s="670">
        <f>IF(J13&gt;=0,+J13*0.5,0)</f>
        <v>29840.032023999996</v>
      </c>
      <c r="L13" s="667">
        <f>IF(K13&gt;0,0,IF(I13&lt;0,0,(-(J13)*0.5)))</f>
        <v>0</v>
      </c>
      <c r="M13" s="667">
        <f t="shared" si="3"/>
        <v>0</v>
      </c>
      <c r="N13" s="671">
        <f>+N12+G13+K13-L13-M13</f>
        <v>-70962.048758443809</v>
      </c>
      <c r="O13" s="666">
        <f>'6b-ADIT Projection Proration'!I13</f>
        <v>0</v>
      </c>
      <c r="P13" s="667">
        <f>$E13*O13</f>
        <v>0</v>
      </c>
      <c r="Q13" s="667">
        <f t="shared" si="16"/>
        <v>0</v>
      </c>
      <c r="R13" s="669">
        <v>0</v>
      </c>
      <c r="S13" s="667">
        <f t="shared" si="5"/>
        <v>0</v>
      </c>
      <c r="T13" s="670">
        <f t="shared" si="17"/>
        <v>0</v>
      </c>
      <c r="U13" s="667">
        <f t="shared" si="6"/>
        <v>0</v>
      </c>
      <c r="V13" s="667">
        <f t="shared" si="7"/>
        <v>0</v>
      </c>
      <c r="W13" s="671">
        <f>+W12+P13+T13-U13-V13</f>
        <v>0</v>
      </c>
      <c r="X13" s="666">
        <f>'6b-ADIT Projection Proration'!K13</f>
        <v>0</v>
      </c>
      <c r="Y13" s="667">
        <f t="shared" si="8"/>
        <v>0</v>
      </c>
      <c r="Z13" s="667">
        <f t="shared" si="19"/>
        <v>0</v>
      </c>
      <c r="AA13" s="669">
        <v>0</v>
      </c>
      <c r="AB13" s="667">
        <f t="shared" si="9"/>
        <v>0</v>
      </c>
      <c r="AC13" s="670">
        <f t="shared" si="20"/>
        <v>0</v>
      </c>
      <c r="AD13" s="667">
        <f t="shared" si="10"/>
        <v>0</v>
      </c>
      <c r="AE13" s="667">
        <f t="shared" si="11"/>
        <v>0</v>
      </c>
      <c r="AF13" s="671">
        <f>+AF12+Y13+AC13-AD13-AE13</f>
        <v>0</v>
      </c>
    </row>
    <row r="14" spans="1:33">
      <c r="A14" s="663">
        <f t="shared" si="0"/>
        <v>6</v>
      </c>
      <c r="B14" s="653" t="s">
        <v>790</v>
      </c>
      <c r="C14" s="648" t="s">
        <v>300</v>
      </c>
      <c r="D14" s="664">
        <f t="shared" si="21"/>
        <v>2025</v>
      </c>
      <c r="E14" s="665">
        <f>215/365</f>
        <v>0.58904109589041098</v>
      </c>
      <c r="F14" s="666">
        <f>'6b-ADIT Projection Proration'!G14</f>
        <v>-59680.064047999993</v>
      </c>
      <c r="G14" s="667">
        <f t="shared" si="13"/>
        <v>-35154.010329643832</v>
      </c>
      <c r="H14" s="667">
        <f t="shared" si="14"/>
        <v>-5573672.1068600873</v>
      </c>
      <c r="I14" s="669">
        <v>0</v>
      </c>
      <c r="J14" s="667">
        <f t="shared" si="1"/>
        <v>59680.064047999993</v>
      </c>
      <c r="K14" s="670">
        <f t="shared" ref="K14:K21" si="23">IF(J14&gt;=0,+J14*0.5,0)</f>
        <v>29840.032023999996</v>
      </c>
      <c r="L14" s="667">
        <f t="shared" ref="L14:L21" si="24">IF(K14&gt;0,0,IF(I14&lt;0,0,(-(J14)*0.5)))</f>
        <v>0</v>
      </c>
      <c r="M14" s="667">
        <f t="shared" si="3"/>
        <v>0</v>
      </c>
      <c r="N14" s="671">
        <f>+N13+G14+K14-L14-M14</f>
        <v>-76276.027064087641</v>
      </c>
      <c r="O14" s="666">
        <f>'6b-ADIT Projection Proration'!I14</f>
        <v>0</v>
      </c>
      <c r="P14" s="667">
        <f t="shared" si="4"/>
        <v>0</v>
      </c>
      <c r="Q14" s="667">
        <f t="shared" si="16"/>
        <v>0</v>
      </c>
      <c r="R14" s="669">
        <v>0</v>
      </c>
      <c r="S14" s="667">
        <f t="shared" si="5"/>
        <v>0</v>
      </c>
      <c r="T14" s="670">
        <f t="shared" si="17"/>
        <v>0</v>
      </c>
      <c r="U14" s="667">
        <f t="shared" si="6"/>
        <v>0</v>
      </c>
      <c r="V14" s="667">
        <f t="shared" si="7"/>
        <v>0</v>
      </c>
      <c r="W14" s="671">
        <f>+W13+P14+T14-U14-V14</f>
        <v>0</v>
      </c>
      <c r="X14" s="666">
        <f>'6b-ADIT Projection Proration'!K14</f>
        <v>0</v>
      </c>
      <c r="Y14" s="667">
        <f t="shared" si="8"/>
        <v>0</v>
      </c>
      <c r="Z14" s="667">
        <f t="shared" si="19"/>
        <v>0</v>
      </c>
      <c r="AA14" s="669">
        <v>0</v>
      </c>
      <c r="AB14" s="667">
        <f t="shared" si="9"/>
        <v>0</v>
      </c>
      <c r="AC14" s="670">
        <f t="shared" si="20"/>
        <v>0</v>
      </c>
      <c r="AD14" s="667">
        <f t="shared" si="10"/>
        <v>0</v>
      </c>
      <c r="AE14" s="667">
        <f t="shared" si="11"/>
        <v>0</v>
      </c>
      <c r="AF14" s="671">
        <f t="shared" ref="AF14:AF21" si="25">+AF13+Y14+AC14-AD14-AE14</f>
        <v>0</v>
      </c>
    </row>
    <row r="15" spans="1:33">
      <c r="A15" s="663">
        <f t="shared" si="0"/>
        <v>7</v>
      </c>
      <c r="B15" s="653" t="s">
        <v>790</v>
      </c>
      <c r="C15" s="648" t="s">
        <v>466</v>
      </c>
      <c r="D15" s="664">
        <f t="shared" si="21"/>
        <v>2025</v>
      </c>
      <c r="E15" s="665">
        <f>185/365</f>
        <v>0.50684931506849318</v>
      </c>
      <c r="F15" s="666">
        <f>'6b-ADIT Projection Proration'!G15</f>
        <v>-59680.064047999993</v>
      </c>
      <c r="G15" s="667">
        <f>$E15*F15</f>
        <v>-30248.7995859726</v>
      </c>
      <c r="H15" s="667">
        <f t="shared" si="14"/>
        <v>-5603920.9064460602</v>
      </c>
      <c r="I15" s="669">
        <v>0</v>
      </c>
      <c r="J15" s="667">
        <f>I15-F15</f>
        <v>59680.064047999993</v>
      </c>
      <c r="K15" s="670">
        <f t="shared" si="23"/>
        <v>29840.032023999996</v>
      </c>
      <c r="L15" s="667">
        <f t="shared" si="24"/>
        <v>0</v>
      </c>
      <c r="M15" s="667">
        <f>IF(K15&gt;0,0,IF(I15&gt;0,0,(-(J15)*0.5)))</f>
        <v>0</v>
      </c>
      <c r="N15" s="671">
        <f>+N14+G15+K15-L15-M15</f>
        <v>-76684.794626060248</v>
      </c>
      <c r="O15" s="666">
        <f>'6b-ADIT Projection Proration'!I15</f>
        <v>0</v>
      </c>
      <c r="P15" s="667">
        <f t="shared" si="4"/>
        <v>0</v>
      </c>
      <c r="Q15" s="667">
        <f t="shared" si="16"/>
        <v>0</v>
      </c>
      <c r="R15" s="669">
        <v>0</v>
      </c>
      <c r="S15" s="667">
        <f t="shared" si="5"/>
        <v>0</v>
      </c>
      <c r="T15" s="670">
        <f t="shared" si="17"/>
        <v>0</v>
      </c>
      <c r="U15" s="667">
        <f t="shared" si="6"/>
        <v>0</v>
      </c>
      <c r="V15" s="667">
        <f t="shared" si="7"/>
        <v>0</v>
      </c>
      <c r="W15" s="671">
        <f t="shared" ref="W15:W21" si="26">+W14+P15+T15-U15-V15</f>
        <v>0</v>
      </c>
      <c r="X15" s="666">
        <f>'6b-ADIT Projection Proration'!K15</f>
        <v>0</v>
      </c>
      <c r="Y15" s="667">
        <f t="shared" si="8"/>
        <v>0</v>
      </c>
      <c r="Z15" s="667">
        <f t="shared" si="19"/>
        <v>0</v>
      </c>
      <c r="AA15" s="669">
        <v>0</v>
      </c>
      <c r="AB15" s="667">
        <f t="shared" si="9"/>
        <v>0</v>
      </c>
      <c r="AC15" s="670">
        <f t="shared" si="20"/>
        <v>0</v>
      </c>
      <c r="AD15" s="667">
        <f t="shared" si="10"/>
        <v>0</v>
      </c>
      <c r="AE15" s="667">
        <f t="shared" si="11"/>
        <v>0</v>
      </c>
      <c r="AF15" s="671">
        <f t="shared" si="25"/>
        <v>0</v>
      </c>
    </row>
    <row r="16" spans="1:33">
      <c r="A16" s="663">
        <f t="shared" si="0"/>
        <v>8</v>
      </c>
      <c r="B16" s="653" t="s">
        <v>790</v>
      </c>
      <c r="C16" s="648" t="s">
        <v>302</v>
      </c>
      <c r="D16" s="664">
        <f t="shared" si="21"/>
        <v>2025</v>
      </c>
      <c r="E16" s="665">
        <f>154/365</f>
        <v>0.42191780821917807</v>
      </c>
      <c r="F16" s="666">
        <f>'6b-ADIT Projection Proration'!G16</f>
        <v>-59680.064047999993</v>
      </c>
      <c r="G16" s="667">
        <f t="shared" si="13"/>
        <v>-25180.081817512324</v>
      </c>
      <c r="H16" s="667">
        <f t="shared" si="14"/>
        <v>-5629100.9882635726</v>
      </c>
      <c r="I16" s="669">
        <v>0</v>
      </c>
      <c r="J16" s="667">
        <f t="shared" si="1"/>
        <v>59680.064047999993</v>
      </c>
      <c r="K16" s="670">
        <f t="shared" si="23"/>
        <v>29840.032023999996</v>
      </c>
      <c r="L16" s="667">
        <f t="shared" si="24"/>
        <v>0</v>
      </c>
      <c r="M16" s="667">
        <f t="shared" ref="M16:M21" si="27">IF(K16&gt;0,0,IF(I16&gt;0,0,(-(J16)*0.5)))</f>
        <v>0</v>
      </c>
      <c r="N16" s="671">
        <f t="shared" ref="N16:N21" si="28">+N15+G16+K16-L16-M16</f>
        <v>-72024.844419572575</v>
      </c>
      <c r="O16" s="666">
        <f>'6b-ADIT Projection Proration'!I16</f>
        <v>0</v>
      </c>
      <c r="P16" s="667">
        <f t="shared" si="4"/>
        <v>0</v>
      </c>
      <c r="Q16" s="667">
        <f t="shared" si="16"/>
        <v>0</v>
      </c>
      <c r="R16" s="669">
        <v>0</v>
      </c>
      <c r="S16" s="667">
        <f t="shared" si="5"/>
        <v>0</v>
      </c>
      <c r="T16" s="670">
        <f t="shared" si="17"/>
        <v>0</v>
      </c>
      <c r="U16" s="667">
        <f t="shared" si="6"/>
        <v>0</v>
      </c>
      <c r="V16" s="667">
        <f t="shared" si="7"/>
        <v>0</v>
      </c>
      <c r="W16" s="671">
        <f t="shared" si="26"/>
        <v>0</v>
      </c>
      <c r="X16" s="666">
        <f>'6b-ADIT Projection Proration'!K16</f>
        <v>0</v>
      </c>
      <c r="Y16" s="667">
        <f t="shared" si="8"/>
        <v>0</v>
      </c>
      <c r="Z16" s="667">
        <f t="shared" si="19"/>
        <v>0</v>
      </c>
      <c r="AA16" s="669">
        <v>0</v>
      </c>
      <c r="AB16" s="667">
        <f t="shared" si="9"/>
        <v>0</v>
      </c>
      <c r="AC16" s="670">
        <f t="shared" si="20"/>
        <v>0</v>
      </c>
      <c r="AD16" s="667">
        <f t="shared" si="10"/>
        <v>0</v>
      </c>
      <c r="AE16" s="667">
        <f t="shared" si="11"/>
        <v>0</v>
      </c>
      <c r="AF16" s="671">
        <f t="shared" si="25"/>
        <v>0</v>
      </c>
    </row>
    <row r="17" spans="1:33">
      <c r="A17" s="663">
        <f t="shared" si="0"/>
        <v>9</v>
      </c>
      <c r="B17" s="653" t="s">
        <v>790</v>
      </c>
      <c r="C17" s="648" t="s">
        <v>303</v>
      </c>
      <c r="D17" s="664">
        <f t="shared" si="21"/>
        <v>2025</v>
      </c>
      <c r="E17" s="665">
        <f>123/365</f>
        <v>0.33698630136986302</v>
      </c>
      <c r="F17" s="666">
        <f>'6b-ADIT Projection Proration'!G17</f>
        <v>-59680.064047999993</v>
      </c>
      <c r="G17" s="667">
        <f t="shared" si="13"/>
        <v>-20111.364049052052</v>
      </c>
      <c r="H17" s="667">
        <f>+G17+H16</f>
        <v>-5649212.3523126245</v>
      </c>
      <c r="I17" s="669">
        <v>0</v>
      </c>
      <c r="J17" s="667">
        <f t="shared" si="1"/>
        <v>59680.064047999993</v>
      </c>
      <c r="K17" s="670">
        <f t="shared" si="23"/>
        <v>29840.032023999996</v>
      </c>
      <c r="L17" s="667">
        <f t="shared" si="24"/>
        <v>0</v>
      </c>
      <c r="M17" s="667">
        <f t="shared" si="27"/>
        <v>0</v>
      </c>
      <c r="N17" s="671">
        <f t="shared" si="28"/>
        <v>-62296.176444624623</v>
      </c>
      <c r="O17" s="666">
        <f>'6b-ADIT Projection Proration'!I17</f>
        <v>0</v>
      </c>
      <c r="P17" s="667">
        <f t="shared" si="4"/>
        <v>0</v>
      </c>
      <c r="Q17" s="667">
        <f t="shared" si="16"/>
        <v>0</v>
      </c>
      <c r="R17" s="669">
        <v>0</v>
      </c>
      <c r="S17" s="667">
        <f t="shared" si="5"/>
        <v>0</v>
      </c>
      <c r="T17" s="670">
        <f t="shared" si="17"/>
        <v>0</v>
      </c>
      <c r="U17" s="667">
        <f t="shared" si="6"/>
        <v>0</v>
      </c>
      <c r="V17" s="667">
        <f t="shared" si="7"/>
        <v>0</v>
      </c>
      <c r="W17" s="671">
        <f t="shared" si="26"/>
        <v>0</v>
      </c>
      <c r="X17" s="666">
        <f>'6b-ADIT Projection Proration'!K17</f>
        <v>0</v>
      </c>
      <c r="Y17" s="667">
        <f t="shared" si="8"/>
        <v>0</v>
      </c>
      <c r="Z17" s="667">
        <f t="shared" si="19"/>
        <v>0</v>
      </c>
      <c r="AA17" s="669">
        <v>0</v>
      </c>
      <c r="AB17" s="667">
        <f t="shared" si="9"/>
        <v>0</v>
      </c>
      <c r="AC17" s="670">
        <f t="shared" si="20"/>
        <v>0</v>
      </c>
      <c r="AD17" s="667">
        <f t="shared" si="10"/>
        <v>0</v>
      </c>
      <c r="AE17" s="667">
        <f t="shared" si="11"/>
        <v>0</v>
      </c>
      <c r="AF17" s="671">
        <f t="shared" si="25"/>
        <v>0</v>
      </c>
    </row>
    <row r="18" spans="1:33">
      <c r="A18" s="663">
        <f t="shared" si="0"/>
        <v>10</v>
      </c>
      <c r="B18" s="653" t="s">
        <v>790</v>
      </c>
      <c r="C18" s="648" t="s">
        <v>304</v>
      </c>
      <c r="D18" s="664">
        <f t="shared" si="21"/>
        <v>2025</v>
      </c>
      <c r="E18" s="665">
        <f>93/365</f>
        <v>0.25479452054794521</v>
      </c>
      <c r="F18" s="666">
        <f>'6b-ADIT Projection Proration'!G18</f>
        <v>-59680.064047999993</v>
      </c>
      <c r="G18" s="667">
        <f t="shared" si="13"/>
        <v>-15206.15330538082</v>
      </c>
      <c r="H18" s="667">
        <f t="shared" si="14"/>
        <v>-5664418.5056180051</v>
      </c>
      <c r="I18" s="669">
        <v>0</v>
      </c>
      <c r="J18" s="667">
        <f t="shared" si="1"/>
        <v>59680.064047999993</v>
      </c>
      <c r="K18" s="670">
        <f t="shared" si="23"/>
        <v>29840.032023999996</v>
      </c>
      <c r="L18" s="667">
        <f t="shared" si="24"/>
        <v>0</v>
      </c>
      <c r="M18" s="667">
        <f t="shared" si="27"/>
        <v>0</v>
      </c>
      <c r="N18" s="671">
        <f t="shared" si="28"/>
        <v>-47662.297726005447</v>
      </c>
      <c r="O18" s="666">
        <f>'6b-ADIT Projection Proration'!I18</f>
        <v>0</v>
      </c>
      <c r="P18" s="667">
        <f t="shared" si="4"/>
        <v>0</v>
      </c>
      <c r="Q18" s="667">
        <f t="shared" si="16"/>
        <v>0</v>
      </c>
      <c r="R18" s="669">
        <v>0</v>
      </c>
      <c r="S18" s="667">
        <f t="shared" si="5"/>
        <v>0</v>
      </c>
      <c r="T18" s="670">
        <f t="shared" si="17"/>
        <v>0</v>
      </c>
      <c r="U18" s="667">
        <f t="shared" si="6"/>
        <v>0</v>
      </c>
      <c r="V18" s="667">
        <f t="shared" si="7"/>
        <v>0</v>
      </c>
      <c r="W18" s="671">
        <f t="shared" si="26"/>
        <v>0</v>
      </c>
      <c r="X18" s="666">
        <f>'6b-ADIT Projection Proration'!K18</f>
        <v>0</v>
      </c>
      <c r="Y18" s="667">
        <f t="shared" si="8"/>
        <v>0</v>
      </c>
      <c r="Z18" s="667">
        <f t="shared" si="19"/>
        <v>0</v>
      </c>
      <c r="AA18" s="669">
        <v>0</v>
      </c>
      <c r="AB18" s="667">
        <f t="shared" si="9"/>
        <v>0</v>
      </c>
      <c r="AC18" s="670">
        <f t="shared" si="20"/>
        <v>0</v>
      </c>
      <c r="AD18" s="667">
        <f t="shared" si="10"/>
        <v>0</v>
      </c>
      <c r="AE18" s="667">
        <f t="shared" si="11"/>
        <v>0</v>
      </c>
      <c r="AF18" s="671">
        <f t="shared" si="25"/>
        <v>0</v>
      </c>
    </row>
    <row r="19" spans="1:33">
      <c r="A19" s="663">
        <f t="shared" si="0"/>
        <v>11</v>
      </c>
      <c r="B19" s="653" t="s">
        <v>790</v>
      </c>
      <c r="C19" s="648" t="s">
        <v>311</v>
      </c>
      <c r="D19" s="664">
        <f t="shared" si="21"/>
        <v>2025</v>
      </c>
      <c r="E19" s="665">
        <f>62/365</f>
        <v>0.16986301369863013</v>
      </c>
      <c r="F19" s="666">
        <f>'6b-ADIT Projection Proration'!G19</f>
        <v>-59680.064047999993</v>
      </c>
      <c r="G19" s="667">
        <f t="shared" si="13"/>
        <v>-10137.435536920546</v>
      </c>
      <c r="H19" s="667">
        <f t="shared" si="14"/>
        <v>-5674555.9411549252</v>
      </c>
      <c r="I19" s="669">
        <v>0</v>
      </c>
      <c r="J19" s="667">
        <f t="shared" si="1"/>
        <v>59680.064047999993</v>
      </c>
      <c r="K19" s="670">
        <f t="shared" si="23"/>
        <v>29840.032023999996</v>
      </c>
      <c r="L19" s="667">
        <f t="shared" si="24"/>
        <v>0</v>
      </c>
      <c r="M19" s="667">
        <f t="shared" si="27"/>
        <v>0</v>
      </c>
      <c r="N19" s="671">
        <f t="shared" si="28"/>
        <v>-27959.701238925994</v>
      </c>
      <c r="O19" s="666">
        <f>'6b-ADIT Projection Proration'!I19</f>
        <v>0</v>
      </c>
      <c r="P19" s="667">
        <f t="shared" si="4"/>
        <v>0</v>
      </c>
      <c r="Q19" s="667">
        <f t="shared" si="16"/>
        <v>0</v>
      </c>
      <c r="R19" s="669">
        <v>0</v>
      </c>
      <c r="S19" s="667">
        <f t="shared" si="5"/>
        <v>0</v>
      </c>
      <c r="T19" s="670">
        <f t="shared" si="17"/>
        <v>0</v>
      </c>
      <c r="U19" s="667">
        <f t="shared" si="6"/>
        <v>0</v>
      </c>
      <c r="V19" s="667">
        <f t="shared" si="7"/>
        <v>0</v>
      </c>
      <c r="W19" s="671">
        <f t="shared" si="26"/>
        <v>0</v>
      </c>
      <c r="X19" s="666">
        <f>'6b-ADIT Projection Proration'!K19</f>
        <v>0</v>
      </c>
      <c r="Y19" s="667">
        <f t="shared" si="8"/>
        <v>0</v>
      </c>
      <c r="Z19" s="667">
        <f t="shared" si="19"/>
        <v>0</v>
      </c>
      <c r="AA19" s="669">
        <v>0</v>
      </c>
      <c r="AB19" s="667">
        <f t="shared" si="9"/>
        <v>0</v>
      </c>
      <c r="AC19" s="670">
        <f t="shared" si="20"/>
        <v>0</v>
      </c>
      <c r="AD19" s="667">
        <f t="shared" si="10"/>
        <v>0</v>
      </c>
      <c r="AE19" s="667">
        <f t="shared" si="11"/>
        <v>0</v>
      </c>
      <c r="AF19" s="671">
        <f t="shared" si="25"/>
        <v>0</v>
      </c>
    </row>
    <row r="20" spans="1:33">
      <c r="A20" s="663">
        <f t="shared" si="0"/>
        <v>12</v>
      </c>
      <c r="B20" s="653" t="s">
        <v>790</v>
      </c>
      <c r="C20" s="648" t="s">
        <v>306</v>
      </c>
      <c r="D20" s="664">
        <f t="shared" si="21"/>
        <v>2025</v>
      </c>
      <c r="E20" s="665">
        <f>32/365</f>
        <v>8.7671232876712329E-2</v>
      </c>
      <c r="F20" s="666">
        <f>'6b-ADIT Projection Proration'!G20</f>
        <v>-59680.064047999993</v>
      </c>
      <c r="G20" s="667">
        <f t="shared" si="13"/>
        <v>-5232.2247932493146</v>
      </c>
      <c r="H20" s="667">
        <f t="shared" si="14"/>
        <v>-5679788.1659481749</v>
      </c>
      <c r="I20" s="669">
        <v>0</v>
      </c>
      <c r="J20" s="667">
        <f t="shared" si="1"/>
        <v>59680.064047999993</v>
      </c>
      <c r="K20" s="670">
        <f t="shared" si="23"/>
        <v>29840.032023999996</v>
      </c>
      <c r="L20" s="667">
        <f t="shared" si="24"/>
        <v>0</v>
      </c>
      <c r="M20" s="667">
        <f t="shared" si="27"/>
        <v>0</v>
      </c>
      <c r="N20" s="671">
        <f t="shared" si="28"/>
        <v>-3351.8940081753135</v>
      </c>
      <c r="O20" s="666">
        <f>'6b-ADIT Projection Proration'!I20</f>
        <v>0</v>
      </c>
      <c r="P20" s="667">
        <f t="shared" si="4"/>
        <v>0</v>
      </c>
      <c r="Q20" s="667">
        <f t="shared" si="16"/>
        <v>0</v>
      </c>
      <c r="R20" s="669">
        <v>0</v>
      </c>
      <c r="S20" s="667">
        <f t="shared" si="5"/>
        <v>0</v>
      </c>
      <c r="T20" s="670">
        <f t="shared" si="17"/>
        <v>0</v>
      </c>
      <c r="U20" s="667">
        <f t="shared" si="6"/>
        <v>0</v>
      </c>
      <c r="V20" s="667">
        <f t="shared" si="7"/>
        <v>0</v>
      </c>
      <c r="W20" s="671">
        <f t="shared" si="26"/>
        <v>0</v>
      </c>
      <c r="X20" s="666">
        <f>'6b-ADIT Projection Proration'!K20</f>
        <v>0</v>
      </c>
      <c r="Y20" s="667">
        <f t="shared" si="8"/>
        <v>0</v>
      </c>
      <c r="Z20" s="667">
        <f t="shared" si="19"/>
        <v>0</v>
      </c>
      <c r="AA20" s="669">
        <v>0</v>
      </c>
      <c r="AB20" s="667">
        <f t="shared" si="9"/>
        <v>0</v>
      </c>
      <c r="AC20" s="670">
        <f t="shared" si="20"/>
        <v>0</v>
      </c>
      <c r="AD20" s="667">
        <f t="shared" si="10"/>
        <v>0</v>
      </c>
      <c r="AE20" s="667">
        <f t="shared" si="11"/>
        <v>0</v>
      </c>
      <c r="AF20" s="671">
        <f t="shared" si="25"/>
        <v>0</v>
      </c>
    </row>
    <row r="21" spans="1:33">
      <c r="A21" s="663">
        <f t="shared" si="0"/>
        <v>13</v>
      </c>
      <c r="B21" s="653" t="s">
        <v>790</v>
      </c>
      <c r="C21" s="648" t="s">
        <v>293</v>
      </c>
      <c r="D21" s="664">
        <f t="shared" si="21"/>
        <v>2025</v>
      </c>
      <c r="E21" s="665">
        <f>1/365</f>
        <v>2.7397260273972603E-3</v>
      </c>
      <c r="F21" s="672">
        <f>'6b-ADIT Projection Proration'!G21</f>
        <v>-59680.064047999993</v>
      </c>
      <c r="G21" s="673">
        <f t="shared" si="13"/>
        <v>-163.50702478904108</v>
      </c>
      <c r="H21" s="673">
        <f t="shared" si="14"/>
        <v>-5679951.6729729641</v>
      </c>
      <c r="I21" s="669">
        <v>0</v>
      </c>
      <c r="J21" s="667">
        <f t="shared" si="1"/>
        <v>59680.064047999993</v>
      </c>
      <c r="K21" s="670">
        <f t="shared" si="23"/>
        <v>29840.032023999996</v>
      </c>
      <c r="L21" s="667">
        <f t="shared" si="24"/>
        <v>0</v>
      </c>
      <c r="M21" s="667">
        <f t="shared" si="27"/>
        <v>0</v>
      </c>
      <c r="N21" s="671">
        <f t="shared" si="28"/>
        <v>26324.630991035643</v>
      </c>
      <c r="O21" s="672">
        <f>'6b-ADIT Projection Proration'!I21</f>
        <v>0</v>
      </c>
      <c r="P21" s="673">
        <f t="shared" si="4"/>
        <v>0</v>
      </c>
      <c r="Q21" s="673">
        <f t="shared" si="16"/>
        <v>0</v>
      </c>
      <c r="R21" s="674">
        <v>0</v>
      </c>
      <c r="S21" s="667">
        <f t="shared" si="5"/>
        <v>0</v>
      </c>
      <c r="T21" s="670">
        <f t="shared" si="17"/>
        <v>0</v>
      </c>
      <c r="U21" s="667">
        <f t="shared" si="6"/>
        <v>0</v>
      </c>
      <c r="V21" s="667">
        <f t="shared" si="7"/>
        <v>0</v>
      </c>
      <c r="W21" s="671">
        <f t="shared" si="26"/>
        <v>0</v>
      </c>
      <c r="X21" s="672">
        <f>'6b-ADIT Projection Proration'!K21</f>
        <v>0</v>
      </c>
      <c r="Y21" s="673">
        <f t="shared" si="8"/>
        <v>0</v>
      </c>
      <c r="Z21" s="673">
        <f t="shared" si="19"/>
        <v>0</v>
      </c>
      <c r="AA21" s="669">
        <v>0</v>
      </c>
      <c r="AB21" s="667">
        <f t="shared" si="9"/>
        <v>0</v>
      </c>
      <c r="AC21" s="670">
        <f t="shared" si="20"/>
        <v>0</v>
      </c>
      <c r="AD21" s="667">
        <f t="shared" si="10"/>
        <v>0</v>
      </c>
      <c r="AE21" s="667">
        <f t="shared" si="11"/>
        <v>0</v>
      </c>
      <c r="AF21" s="671">
        <f t="shared" si="25"/>
        <v>0</v>
      </c>
    </row>
    <row r="22" spans="1:33">
      <c r="A22" s="663">
        <f t="shared" si="0"/>
        <v>14</v>
      </c>
      <c r="B22" s="653" t="s">
        <v>791</v>
      </c>
      <c r="D22" s="675"/>
      <c r="F22" s="666">
        <f>SUM(F9:F21)</f>
        <v>-716160.768576</v>
      </c>
      <c r="G22" s="667">
        <f t="shared" ref="G22:M22" si="29">SUM(G9:G21)</f>
        <v>-331755.75329696439</v>
      </c>
      <c r="H22" s="667"/>
      <c r="I22" s="676">
        <f t="shared" si="29"/>
        <v>0</v>
      </c>
      <c r="J22" s="676">
        <f t="shared" si="29"/>
        <v>716160.768576</v>
      </c>
      <c r="K22" s="676">
        <f t="shared" si="29"/>
        <v>358080.384288</v>
      </c>
      <c r="L22" s="676">
        <f t="shared" si="29"/>
        <v>0</v>
      </c>
      <c r="M22" s="676">
        <f t="shared" si="29"/>
        <v>0</v>
      </c>
      <c r="N22" s="677"/>
      <c r="O22" s="666">
        <f t="shared" ref="O22:P22" si="30">SUM(O9:O21)</f>
        <v>0</v>
      </c>
      <c r="P22" s="667">
        <f t="shared" si="30"/>
        <v>0</v>
      </c>
      <c r="Q22" s="667"/>
      <c r="R22" s="667">
        <f t="shared" ref="R22:V22" si="31">SUM(R9:R21)</f>
        <v>0</v>
      </c>
      <c r="S22" s="676">
        <f t="shared" si="31"/>
        <v>0</v>
      </c>
      <c r="T22" s="676">
        <f t="shared" si="31"/>
        <v>0</v>
      </c>
      <c r="U22" s="676">
        <f t="shared" si="31"/>
        <v>0</v>
      </c>
      <c r="V22" s="676">
        <f t="shared" si="31"/>
        <v>0</v>
      </c>
      <c r="W22" s="677"/>
      <c r="X22" s="666">
        <f t="shared" ref="X22:Y22" si="32">SUM(X9:X21)</f>
        <v>0</v>
      </c>
      <c r="Y22" s="667">
        <f t="shared" si="32"/>
        <v>0</v>
      </c>
      <c r="Z22" s="667"/>
      <c r="AA22" s="676">
        <f t="shared" ref="AA22:AE22" si="33">SUM(AA9:AA21)</f>
        <v>0</v>
      </c>
      <c r="AB22" s="676">
        <f t="shared" si="33"/>
        <v>0</v>
      </c>
      <c r="AC22" s="676">
        <f t="shared" si="33"/>
        <v>0</v>
      </c>
      <c r="AD22" s="676">
        <f t="shared" si="33"/>
        <v>0</v>
      </c>
      <c r="AE22" s="676">
        <f t="shared" si="33"/>
        <v>0</v>
      </c>
      <c r="AF22" s="677"/>
    </row>
    <row r="23" spans="1:33">
      <c r="A23" s="663"/>
      <c r="F23" s="666"/>
      <c r="G23" s="667"/>
      <c r="H23" s="667"/>
      <c r="I23" s="667"/>
      <c r="J23" s="667"/>
      <c r="K23" s="667"/>
      <c r="L23" s="667"/>
      <c r="M23" s="667"/>
      <c r="N23" s="668"/>
      <c r="O23" s="666"/>
      <c r="P23" s="667"/>
      <c r="Q23" s="667"/>
      <c r="R23" s="667"/>
      <c r="S23" s="667"/>
      <c r="T23" s="667"/>
      <c r="U23" s="667"/>
      <c r="V23" s="667"/>
      <c r="W23" s="668"/>
      <c r="X23" s="666"/>
      <c r="Y23" s="667"/>
      <c r="Z23" s="667"/>
      <c r="AA23" s="667"/>
      <c r="AB23" s="667"/>
      <c r="AC23" s="667"/>
      <c r="AD23" s="667"/>
      <c r="AE23" s="667"/>
      <c r="AF23" s="668"/>
    </row>
    <row r="24" spans="1:33">
      <c r="A24" s="648" t="s">
        <v>845</v>
      </c>
      <c r="D24" s="652"/>
      <c r="E24" s="652"/>
      <c r="F24" s="666"/>
      <c r="G24" s="667"/>
      <c r="H24" s="667"/>
      <c r="I24" s="667"/>
      <c r="J24" s="667"/>
      <c r="K24" s="667"/>
      <c r="L24" s="667"/>
      <c r="M24" s="667"/>
      <c r="N24" s="668"/>
      <c r="O24" s="666"/>
      <c r="P24" s="667"/>
      <c r="Q24" s="667"/>
      <c r="R24" s="667"/>
      <c r="S24" s="667"/>
      <c r="T24" s="667"/>
      <c r="U24" s="667"/>
      <c r="V24" s="667"/>
      <c r="W24" s="668"/>
      <c r="X24" s="666"/>
      <c r="Y24" s="667"/>
      <c r="Z24" s="667"/>
      <c r="AA24" s="667"/>
      <c r="AB24" s="667"/>
      <c r="AC24" s="667"/>
      <c r="AD24" s="667"/>
      <c r="AE24" s="667"/>
      <c r="AF24" s="668"/>
      <c r="AG24" s="652"/>
    </row>
    <row r="25" spans="1:33">
      <c r="A25" s="663">
        <f>A22+1</f>
        <v>15</v>
      </c>
      <c r="B25" s="653" t="s">
        <v>846</v>
      </c>
      <c r="C25" s="648" t="s">
        <v>293</v>
      </c>
      <c r="D25" s="664">
        <f>+D9</f>
        <v>2024</v>
      </c>
      <c r="E25" s="665">
        <f>365/365</f>
        <v>1</v>
      </c>
      <c r="F25" s="666"/>
      <c r="G25" s="667"/>
      <c r="H25" s="667">
        <f>'6c- ADIT BOY'!E74</f>
        <v>0</v>
      </c>
      <c r="I25" s="667"/>
      <c r="J25" s="667"/>
      <c r="K25" s="667"/>
      <c r="L25" s="667"/>
      <c r="M25" s="667"/>
      <c r="N25" s="668"/>
      <c r="O25" s="666"/>
      <c r="P25" s="667"/>
      <c r="Q25" s="667">
        <f>'6c- ADIT BOY'!F74</f>
        <v>0</v>
      </c>
      <c r="R25" s="667"/>
      <c r="S25" s="667"/>
      <c r="T25" s="667"/>
      <c r="U25" s="667"/>
      <c r="V25" s="667"/>
      <c r="W25" s="668"/>
      <c r="X25" s="666"/>
      <c r="Y25" s="667"/>
      <c r="Z25" s="667">
        <f>'6c- ADIT BOY'!G74</f>
        <v>0</v>
      </c>
      <c r="AA25" s="667"/>
      <c r="AB25" s="667"/>
      <c r="AC25" s="667"/>
      <c r="AD25" s="667"/>
      <c r="AE25" s="667"/>
      <c r="AF25" s="668"/>
    </row>
    <row r="26" spans="1:33">
      <c r="A26" s="663">
        <f t="shared" ref="A26:A38" si="34">+A25+1</f>
        <v>16</v>
      </c>
      <c r="B26" s="653" t="s">
        <v>790</v>
      </c>
      <c r="C26" s="648" t="s">
        <v>295</v>
      </c>
      <c r="D26" s="664">
        <f t="shared" ref="D26:D37" si="35">+D10</f>
        <v>2025</v>
      </c>
      <c r="E26" s="665">
        <f>335/365</f>
        <v>0.9178082191780822</v>
      </c>
      <c r="F26" s="666">
        <f>'6b-ADIT Projection Proration'!G26</f>
        <v>23266.488498800205</v>
      </c>
      <c r="G26" s="667">
        <f t="shared" ref="G26:G37" si="36">$E26*F26</f>
        <v>21354.174375611146</v>
      </c>
      <c r="H26" s="667">
        <f t="shared" ref="H26:H37" si="37">+G26+H25</f>
        <v>21354.174375611146</v>
      </c>
      <c r="I26" s="669">
        <v>0</v>
      </c>
      <c r="J26" s="667">
        <f t="shared" ref="J26:J37" si="38">I26-F26</f>
        <v>-23266.488498800205</v>
      </c>
      <c r="K26" s="670">
        <f t="shared" ref="K26:K28" si="39">IF(J26&gt;=0,+J26*0.5,0)</f>
        <v>0</v>
      </c>
      <c r="L26" s="667">
        <f t="shared" ref="L26:L28" si="40">IF(K26&gt;0,0,IF(I26&lt;0,0,(-(J26)*0.5)))</f>
        <v>11633.244249400102</v>
      </c>
      <c r="M26" s="667">
        <f t="shared" ref="M26:M30" si="41">IF(K26&gt;0,0,IF(I26&gt;0,0,(-(J26)*0.5)))</f>
        <v>11633.244249400102</v>
      </c>
      <c r="N26" s="671">
        <f t="shared" ref="N26:N28" si="42">+N25+G26+K26-L26-M26</f>
        <v>-1912.3141231890586</v>
      </c>
      <c r="O26" s="666">
        <f>'6b-ADIT Projection Proration'!I26</f>
        <v>0</v>
      </c>
      <c r="P26" s="667">
        <f t="shared" ref="P26:P37" si="43">$E26*O26</f>
        <v>0</v>
      </c>
      <c r="Q26" s="667">
        <f t="shared" ref="Q26:Q37" si="44">+P26+Q25</f>
        <v>0</v>
      </c>
      <c r="R26" s="669">
        <v>0</v>
      </c>
      <c r="S26" s="667">
        <f t="shared" ref="S26:S37" si="45">R26-O26</f>
        <v>0</v>
      </c>
      <c r="T26" s="670">
        <f>IF(S26&gt;=0,+S26*E26,0)</f>
        <v>0</v>
      </c>
      <c r="U26" s="667">
        <f t="shared" ref="U26:U37" si="46">IF(T26&gt;0,0,IF(R26&lt;0,0,(-(S26)*($E26))))</f>
        <v>0</v>
      </c>
      <c r="V26" s="667">
        <f t="shared" ref="V26:V37" si="47">IF(T26&gt;0,0,IF(R26&gt;0,0,(-(S26)*($E26))))</f>
        <v>0</v>
      </c>
      <c r="W26" s="671">
        <f>+W25+P26+T26-U26-V26</f>
        <v>0</v>
      </c>
      <c r="X26" s="666">
        <f>'6b-ADIT Projection Proration'!K26</f>
        <v>0</v>
      </c>
      <c r="Y26" s="667">
        <f t="shared" ref="Y26:Y37" si="48">$E26*X26</f>
        <v>0</v>
      </c>
      <c r="Z26" s="667">
        <f t="shared" ref="Z26:Z37" si="49">+Y26+Z25</f>
        <v>0</v>
      </c>
      <c r="AA26" s="669">
        <v>0</v>
      </c>
      <c r="AB26" s="667">
        <f t="shared" ref="AB26:AB37" si="50">AA26-X26</f>
        <v>0</v>
      </c>
      <c r="AC26" s="670">
        <f>IF(AB26&gt;=0,+AB26*E26,0)</f>
        <v>0</v>
      </c>
      <c r="AD26" s="667">
        <f t="shared" ref="AD26:AD37" si="51">IF(AC26&gt;0,0,IF(AA26&lt;0,0,(-(AB26)*($E26))))</f>
        <v>0</v>
      </c>
      <c r="AE26" s="667">
        <f t="shared" ref="AE26:AE37" si="52">IF(AC26&gt;0,0,IF(AA26&gt;0,0,(-(AB26)*($E26))))</f>
        <v>0</v>
      </c>
      <c r="AF26" s="671">
        <f t="shared" ref="AF26:AF28" si="53">+AF25+Y26+AC26-AD26-AE26</f>
        <v>0</v>
      </c>
    </row>
    <row r="27" spans="1:33">
      <c r="A27" s="663">
        <f t="shared" si="34"/>
        <v>17</v>
      </c>
      <c r="B27" s="653" t="s">
        <v>790</v>
      </c>
      <c r="C27" s="648" t="s">
        <v>297</v>
      </c>
      <c r="D27" s="664">
        <f t="shared" si="35"/>
        <v>2025</v>
      </c>
      <c r="E27" s="665">
        <f>307/365</f>
        <v>0.84109589041095889</v>
      </c>
      <c r="F27" s="666">
        <f>'6b-ADIT Projection Proration'!G27</f>
        <v>23266.488498800205</v>
      </c>
      <c r="G27" s="667">
        <f t="shared" si="36"/>
        <v>19569.347860634694</v>
      </c>
      <c r="H27" s="667">
        <f t="shared" si="37"/>
        <v>40923.522236245844</v>
      </c>
      <c r="I27" s="669">
        <v>0</v>
      </c>
      <c r="J27" s="667">
        <f t="shared" si="38"/>
        <v>-23266.488498800205</v>
      </c>
      <c r="K27" s="670">
        <f t="shared" si="39"/>
        <v>0</v>
      </c>
      <c r="L27" s="667">
        <f t="shared" si="40"/>
        <v>11633.244249400102</v>
      </c>
      <c r="M27" s="667">
        <f t="shared" si="41"/>
        <v>11633.244249400102</v>
      </c>
      <c r="N27" s="671">
        <f t="shared" si="42"/>
        <v>-5609.4547613545692</v>
      </c>
      <c r="O27" s="666">
        <f>'6b-ADIT Projection Proration'!I27</f>
        <v>0</v>
      </c>
      <c r="P27" s="667">
        <f t="shared" si="43"/>
        <v>0</v>
      </c>
      <c r="Q27" s="667">
        <f t="shared" si="44"/>
        <v>0</v>
      </c>
      <c r="R27" s="669">
        <v>0</v>
      </c>
      <c r="S27" s="667">
        <f t="shared" si="45"/>
        <v>0</v>
      </c>
      <c r="T27" s="670">
        <f t="shared" ref="T27:T37" si="54">IF(S27&gt;=0,+S27*E27,0)</f>
        <v>0</v>
      </c>
      <c r="U27" s="667">
        <f t="shared" si="46"/>
        <v>0</v>
      </c>
      <c r="V27" s="667">
        <f t="shared" si="47"/>
        <v>0</v>
      </c>
      <c r="W27" s="671">
        <f t="shared" ref="W27:W28" si="55">+W26+P27+T27-U27-V27</f>
        <v>0</v>
      </c>
      <c r="X27" s="666">
        <f>'6b-ADIT Projection Proration'!K27</f>
        <v>0</v>
      </c>
      <c r="Y27" s="667">
        <f t="shared" si="48"/>
        <v>0</v>
      </c>
      <c r="Z27" s="667">
        <f t="shared" si="49"/>
        <v>0</v>
      </c>
      <c r="AA27" s="669">
        <v>0</v>
      </c>
      <c r="AB27" s="667">
        <f t="shared" si="50"/>
        <v>0</v>
      </c>
      <c r="AC27" s="670">
        <f t="shared" ref="AC27:AC37" si="56">IF(AB27&gt;=0,+AB27*E27,0)</f>
        <v>0</v>
      </c>
      <c r="AD27" s="667">
        <f t="shared" si="51"/>
        <v>0</v>
      </c>
      <c r="AE27" s="667">
        <f t="shared" si="52"/>
        <v>0</v>
      </c>
      <c r="AF27" s="671">
        <f t="shared" si="53"/>
        <v>0</v>
      </c>
    </row>
    <row r="28" spans="1:33">
      <c r="A28" s="663">
        <f t="shared" si="34"/>
        <v>18</v>
      </c>
      <c r="B28" s="653" t="s">
        <v>790</v>
      </c>
      <c r="C28" s="648" t="s">
        <v>298</v>
      </c>
      <c r="D28" s="664">
        <f t="shared" si="35"/>
        <v>2025</v>
      </c>
      <c r="E28" s="665">
        <f>276/365</f>
        <v>0.75616438356164384</v>
      </c>
      <c r="F28" s="666">
        <f>'6b-ADIT Projection Proration'!G28</f>
        <v>23266.488498800205</v>
      </c>
      <c r="G28" s="667">
        <f t="shared" si="36"/>
        <v>17593.289933339332</v>
      </c>
      <c r="H28" s="667">
        <f t="shared" si="37"/>
        <v>58516.812169585173</v>
      </c>
      <c r="I28" s="669">
        <v>0</v>
      </c>
      <c r="J28" s="667">
        <f t="shared" si="38"/>
        <v>-23266.488498800205</v>
      </c>
      <c r="K28" s="670">
        <f t="shared" si="39"/>
        <v>0</v>
      </c>
      <c r="L28" s="667">
        <f t="shared" si="40"/>
        <v>11633.244249400102</v>
      </c>
      <c r="M28" s="667">
        <f t="shared" si="41"/>
        <v>11633.244249400102</v>
      </c>
      <c r="N28" s="671">
        <f t="shared" si="42"/>
        <v>-11282.653326815442</v>
      </c>
      <c r="O28" s="666">
        <f>'6b-ADIT Projection Proration'!I28</f>
        <v>0</v>
      </c>
      <c r="P28" s="667">
        <f t="shared" si="43"/>
        <v>0</v>
      </c>
      <c r="Q28" s="667">
        <f t="shared" si="44"/>
        <v>0</v>
      </c>
      <c r="R28" s="669">
        <v>0</v>
      </c>
      <c r="S28" s="667">
        <f t="shared" si="45"/>
        <v>0</v>
      </c>
      <c r="T28" s="670">
        <f t="shared" si="54"/>
        <v>0</v>
      </c>
      <c r="U28" s="667">
        <f t="shared" si="46"/>
        <v>0</v>
      </c>
      <c r="V28" s="667">
        <f t="shared" si="47"/>
        <v>0</v>
      </c>
      <c r="W28" s="671">
        <f t="shared" si="55"/>
        <v>0</v>
      </c>
      <c r="X28" s="666">
        <f>'6b-ADIT Projection Proration'!K28</f>
        <v>0</v>
      </c>
      <c r="Y28" s="667">
        <f t="shared" si="48"/>
        <v>0</v>
      </c>
      <c r="Z28" s="667">
        <f t="shared" si="49"/>
        <v>0</v>
      </c>
      <c r="AA28" s="669">
        <v>0</v>
      </c>
      <c r="AB28" s="667">
        <f t="shared" si="50"/>
        <v>0</v>
      </c>
      <c r="AC28" s="670">
        <f t="shared" si="56"/>
        <v>0</v>
      </c>
      <c r="AD28" s="667">
        <f t="shared" si="51"/>
        <v>0</v>
      </c>
      <c r="AE28" s="667">
        <f t="shared" si="52"/>
        <v>0</v>
      </c>
      <c r="AF28" s="671">
        <f t="shared" si="53"/>
        <v>0</v>
      </c>
    </row>
    <row r="29" spans="1:33">
      <c r="A29" s="663">
        <f t="shared" si="34"/>
        <v>19</v>
      </c>
      <c r="B29" s="653" t="s">
        <v>790</v>
      </c>
      <c r="C29" s="648" t="s">
        <v>299</v>
      </c>
      <c r="D29" s="664">
        <f t="shared" si="35"/>
        <v>2025</v>
      </c>
      <c r="E29" s="665">
        <f>246/365</f>
        <v>0.67397260273972603</v>
      </c>
      <c r="F29" s="666">
        <f>'6b-ADIT Projection Proration'!G29</f>
        <v>23266.488498800205</v>
      </c>
      <c r="G29" s="667">
        <f t="shared" si="36"/>
        <v>15680.975810150276</v>
      </c>
      <c r="H29" s="667">
        <f t="shared" si="37"/>
        <v>74197.787979735454</v>
      </c>
      <c r="I29" s="669">
        <v>0</v>
      </c>
      <c r="J29" s="667">
        <f t="shared" si="38"/>
        <v>-23266.488498800205</v>
      </c>
      <c r="K29" s="670">
        <f>IF(J29&gt;=0,+J29*0.5,0)</f>
        <v>0</v>
      </c>
      <c r="L29" s="667">
        <f>IF(K29&gt;0,0,IF(I29&lt;0,0,(-(J29)*0.5)))</f>
        <v>11633.244249400102</v>
      </c>
      <c r="M29" s="667">
        <f t="shared" si="41"/>
        <v>11633.244249400102</v>
      </c>
      <c r="N29" s="671">
        <f>+N28+G29+K29-L29-M29</f>
        <v>-18868.166015465373</v>
      </c>
      <c r="O29" s="666">
        <f>'6b-ADIT Projection Proration'!I29</f>
        <v>0</v>
      </c>
      <c r="P29" s="667">
        <f t="shared" si="43"/>
        <v>0</v>
      </c>
      <c r="Q29" s="667">
        <f t="shared" si="44"/>
        <v>0</v>
      </c>
      <c r="R29" s="669">
        <v>0</v>
      </c>
      <c r="S29" s="667">
        <f t="shared" si="45"/>
        <v>0</v>
      </c>
      <c r="T29" s="670">
        <f t="shared" si="54"/>
        <v>0</v>
      </c>
      <c r="U29" s="667">
        <f t="shared" si="46"/>
        <v>0</v>
      </c>
      <c r="V29" s="667">
        <f t="shared" si="47"/>
        <v>0</v>
      </c>
      <c r="W29" s="671">
        <f>+W28+P29+T29-U29-V29</f>
        <v>0</v>
      </c>
      <c r="X29" s="666">
        <f>'6b-ADIT Projection Proration'!K29</f>
        <v>0</v>
      </c>
      <c r="Y29" s="667">
        <f t="shared" si="48"/>
        <v>0</v>
      </c>
      <c r="Z29" s="667">
        <f t="shared" si="49"/>
        <v>0</v>
      </c>
      <c r="AA29" s="669">
        <v>0</v>
      </c>
      <c r="AB29" s="667">
        <f t="shared" si="50"/>
        <v>0</v>
      </c>
      <c r="AC29" s="670">
        <f t="shared" si="56"/>
        <v>0</v>
      </c>
      <c r="AD29" s="667">
        <f t="shared" si="51"/>
        <v>0</v>
      </c>
      <c r="AE29" s="667">
        <f t="shared" si="52"/>
        <v>0</v>
      </c>
      <c r="AF29" s="671">
        <f>+AF28+Y29+AC29-AD29-AE29</f>
        <v>0</v>
      </c>
    </row>
    <row r="30" spans="1:33">
      <c r="A30" s="663">
        <f t="shared" si="34"/>
        <v>20</v>
      </c>
      <c r="B30" s="653" t="s">
        <v>790</v>
      </c>
      <c r="C30" s="648" t="s">
        <v>300</v>
      </c>
      <c r="D30" s="664">
        <f t="shared" si="35"/>
        <v>2025</v>
      </c>
      <c r="E30" s="665">
        <f>215/365</f>
        <v>0.58904109589041098</v>
      </c>
      <c r="F30" s="666">
        <f>'6b-ADIT Projection Proration'!G30</f>
        <v>23266.488498800205</v>
      </c>
      <c r="G30" s="667">
        <f t="shared" si="36"/>
        <v>13704.917882854916</v>
      </c>
      <c r="H30" s="667">
        <f t="shared" si="37"/>
        <v>87902.705862590374</v>
      </c>
      <c r="I30" s="669">
        <v>0</v>
      </c>
      <c r="J30" s="667">
        <f t="shared" si="38"/>
        <v>-23266.488498800205</v>
      </c>
      <c r="K30" s="670">
        <f t="shared" ref="K30:K37" si="57">IF(J30&gt;=0,+J30*0.5,0)</f>
        <v>0</v>
      </c>
      <c r="L30" s="667">
        <f t="shared" ref="L30:L37" si="58">IF(K30&gt;0,0,IF(I30&lt;0,0,(-(J30)*0.5)))</f>
        <v>11633.244249400102</v>
      </c>
      <c r="M30" s="667">
        <f t="shared" si="41"/>
        <v>11633.244249400102</v>
      </c>
      <c r="N30" s="671">
        <f t="shared" ref="N30:N37" si="59">+N29+G30+K30-L30-M30</f>
        <v>-28429.736631410662</v>
      </c>
      <c r="O30" s="666">
        <f>'6b-ADIT Projection Proration'!I30</f>
        <v>0</v>
      </c>
      <c r="P30" s="667">
        <f t="shared" si="43"/>
        <v>0</v>
      </c>
      <c r="Q30" s="667">
        <f t="shared" si="44"/>
        <v>0</v>
      </c>
      <c r="R30" s="669">
        <v>0</v>
      </c>
      <c r="S30" s="667">
        <f t="shared" si="45"/>
        <v>0</v>
      </c>
      <c r="T30" s="670">
        <f t="shared" si="54"/>
        <v>0</v>
      </c>
      <c r="U30" s="667">
        <f t="shared" si="46"/>
        <v>0</v>
      </c>
      <c r="V30" s="667">
        <f t="shared" si="47"/>
        <v>0</v>
      </c>
      <c r="W30" s="671">
        <f t="shared" ref="W30:W37" si="60">+W29+P30+T30-U30-V30</f>
        <v>0</v>
      </c>
      <c r="X30" s="666">
        <f>'6b-ADIT Projection Proration'!K30</f>
        <v>0</v>
      </c>
      <c r="Y30" s="667">
        <f t="shared" si="48"/>
        <v>0</v>
      </c>
      <c r="Z30" s="667">
        <f t="shared" si="49"/>
        <v>0</v>
      </c>
      <c r="AA30" s="669">
        <v>0</v>
      </c>
      <c r="AB30" s="667">
        <f t="shared" si="50"/>
        <v>0</v>
      </c>
      <c r="AC30" s="670">
        <f t="shared" si="56"/>
        <v>0</v>
      </c>
      <c r="AD30" s="667">
        <f t="shared" si="51"/>
        <v>0</v>
      </c>
      <c r="AE30" s="667">
        <f t="shared" si="52"/>
        <v>0</v>
      </c>
      <c r="AF30" s="671">
        <f t="shared" ref="AF30:AF37" si="61">+AF29+Y30+AC30-AD30-AE30</f>
        <v>0</v>
      </c>
    </row>
    <row r="31" spans="1:33">
      <c r="A31" s="663">
        <f t="shared" si="34"/>
        <v>21</v>
      </c>
      <c r="B31" s="653" t="s">
        <v>790</v>
      </c>
      <c r="C31" s="648" t="s">
        <v>466</v>
      </c>
      <c r="D31" s="664">
        <f t="shared" si="35"/>
        <v>2025</v>
      </c>
      <c r="E31" s="665">
        <f>185/365</f>
        <v>0.50684931506849318</v>
      </c>
      <c r="F31" s="666">
        <f>'6b-ADIT Projection Proration'!G31</f>
        <v>23266.488498800205</v>
      </c>
      <c r="G31" s="667">
        <f t="shared" si="36"/>
        <v>11792.603759665857</v>
      </c>
      <c r="H31" s="667">
        <f t="shared" si="37"/>
        <v>99695.309622256231</v>
      </c>
      <c r="I31" s="669">
        <v>0</v>
      </c>
      <c r="J31" s="667">
        <f t="shared" si="38"/>
        <v>-23266.488498800205</v>
      </c>
      <c r="K31" s="670">
        <f t="shared" si="57"/>
        <v>0</v>
      </c>
      <c r="L31" s="667">
        <f t="shared" si="58"/>
        <v>11633.244249400102</v>
      </c>
      <c r="M31" s="667">
        <f>IF(K31&gt;0,0,IF(I31&gt;0,0,(-(J31)*0.5)))</f>
        <v>11633.244249400102</v>
      </c>
      <c r="N31" s="671">
        <f t="shared" si="59"/>
        <v>-39903.621370545006</v>
      </c>
      <c r="O31" s="666">
        <f>'6b-ADIT Projection Proration'!I31</f>
        <v>0</v>
      </c>
      <c r="P31" s="667">
        <f t="shared" si="43"/>
        <v>0</v>
      </c>
      <c r="Q31" s="667">
        <f t="shared" si="44"/>
        <v>0</v>
      </c>
      <c r="R31" s="669">
        <v>0</v>
      </c>
      <c r="S31" s="667">
        <f t="shared" si="45"/>
        <v>0</v>
      </c>
      <c r="T31" s="670">
        <f t="shared" si="54"/>
        <v>0</v>
      </c>
      <c r="U31" s="667">
        <f t="shared" si="46"/>
        <v>0</v>
      </c>
      <c r="V31" s="667">
        <f t="shared" si="47"/>
        <v>0</v>
      </c>
      <c r="W31" s="671">
        <f t="shared" si="60"/>
        <v>0</v>
      </c>
      <c r="X31" s="666">
        <f>'6b-ADIT Projection Proration'!K31</f>
        <v>0</v>
      </c>
      <c r="Y31" s="667">
        <f t="shared" si="48"/>
        <v>0</v>
      </c>
      <c r="Z31" s="667">
        <f t="shared" si="49"/>
        <v>0</v>
      </c>
      <c r="AA31" s="669">
        <v>0</v>
      </c>
      <c r="AB31" s="667">
        <f t="shared" si="50"/>
        <v>0</v>
      </c>
      <c r="AC31" s="670">
        <f t="shared" si="56"/>
        <v>0</v>
      </c>
      <c r="AD31" s="667">
        <f t="shared" si="51"/>
        <v>0</v>
      </c>
      <c r="AE31" s="667">
        <f t="shared" si="52"/>
        <v>0</v>
      </c>
      <c r="AF31" s="671">
        <f t="shared" si="61"/>
        <v>0</v>
      </c>
    </row>
    <row r="32" spans="1:33">
      <c r="A32" s="663">
        <f t="shared" si="34"/>
        <v>22</v>
      </c>
      <c r="B32" s="653" t="s">
        <v>790</v>
      </c>
      <c r="C32" s="648" t="s">
        <v>302</v>
      </c>
      <c r="D32" s="664">
        <f t="shared" si="35"/>
        <v>2025</v>
      </c>
      <c r="E32" s="665">
        <f>154/365</f>
        <v>0.42191780821917807</v>
      </c>
      <c r="F32" s="666">
        <f>'6b-ADIT Projection Proration'!G32</f>
        <v>23266.488498800205</v>
      </c>
      <c r="G32" s="667">
        <f t="shared" si="36"/>
        <v>9816.545832370497</v>
      </c>
      <c r="H32" s="667">
        <f t="shared" si="37"/>
        <v>109511.85545462673</v>
      </c>
      <c r="I32" s="669">
        <v>0</v>
      </c>
      <c r="J32" s="667">
        <f t="shared" si="38"/>
        <v>-23266.488498800205</v>
      </c>
      <c r="K32" s="670">
        <f t="shared" si="57"/>
        <v>0</v>
      </c>
      <c r="L32" s="667">
        <f t="shared" si="58"/>
        <v>11633.244249400102</v>
      </c>
      <c r="M32" s="667">
        <f t="shared" ref="M32:M37" si="62">IF(K32&gt;0,0,IF(I32&gt;0,0,(-(J32)*0.5)))</f>
        <v>11633.244249400102</v>
      </c>
      <c r="N32" s="671">
        <f t="shared" si="59"/>
        <v>-53353.564036974713</v>
      </c>
      <c r="O32" s="666">
        <f>'6b-ADIT Projection Proration'!I32</f>
        <v>0</v>
      </c>
      <c r="P32" s="667">
        <f t="shared" si="43"/>
        <v>0</v>
      </c>
      <c r="Q32" s="667">
        <f t="shared" si="44"/>
        <v>0</v>
      </c>
      <c r="R32" s="669">
        <v>0</v>
      </c>
      <c r="S32" s="667">
        <f t="shared" si="45"/>
        <v>0</v>
      </c>
      <c r="T32" s="670">
        <f t="shared" si="54"/>
        <v>0</v>
      </c>
      <c r="U32" s="667">
        <f t="shared" si="46"/>
        <v>0</v>
      </c>
      <c r="V32" s="667">
        <f t="shared" si="47"/>
        <v>0</v>
      </c>
      <c r="W32" s="671">
        <f t="shared" si="60"/>
        <v>0</v>
      </c>
      <c r="X32" s="666">
        <f>'6b-ADIT Projection Proration'!K32</f>
        <v>0</v>
      </c>
      <c r="Y32" s="667">
        <f t="shared" si="48"/>
        <v>0</v>
      </c>
      <c r="Z32" s="667">
        <f t="shared" si="49"/>
        <v>0</v>
      </c>
      <c r="AA32" s="669">
        <v>0</v>
      </c>
      <c r="AB32" s="667">
        <f t="shared" si="50"/>
        <v>0</v>
      </c>
      <c r="AC32" s="670">
        <f t="shared" si="56"/>
        <v>0</v>
      </c>
      <c r="AD32" s="667">
        <f t="shared" si="51"/>
        <v>0</v>
      </c>
      <c r="AE32" s="667">
        <f t="shared" si="52"/>
        <v>0</v>
      </c>
      <c r="AF32" s="671">
        <f t="shared" si="61"/>
        <v>0</v>
      </c>
    </row>
    <row r="33" spans="1:33">
      <c r="A33" s="663">
        <f t="shared" si="34"/>
        <v>23</v>
      </c>
      <c r="B33" s="653" t="s">
        <v>790</v>
      </c>
      <c r="C33" s="648" t="s">
        <v>303</v>
      </c>
      <c r="D33" s="664">
        <f t="shared" si="35"/>
        <v>2025</v>
      </c>
      <c r="E33" s="665">
        <f>123/365</f>
        <v>0.33698630136986302</v>
      </c>
      <c r="F33" s="666">
        <f>'6b-ADIT Projection Proration'!G33</f>
        <v>23266.488498800205</v>
      </c>
      <c r="G33" s="667">
        <f t="shared" si="36"/>
        <v>7840.4879050751379</v>
      </c>
      <c r="H33" s="667">
        <f t="shared" si="37"/>
        <v>117352.34335970186</v>
      </c>
      <c r="I33" s="669">
        <v>0</v>
      </c>
      <c r="J33" s="667">
        <f t="shared" si="38"/>
        <v>-23266.488498800205</v>
      </c>
      <c r="K33" s="670">
        <f t="shared" si="57"/>
        <v>0</v>
      </c>
      <c r="L33" s="667">
        <f t="shared" si="58"/>
        <v>11633.244249400102</v>
      </c>
      <c r="M33" s="667">
        <f t="shared" si="62"/>
        <v>11633.244249400102</v>
      </c>
      <c r="N33" s="671">
        <f t="shared" si="59"/>
        <v>-68779.564630699781</v>
      </c>
      <c r="O33" s="666">
        <f>'6b-ADIT Projection Proration'!I33</f>
        <v>0</v>
      </c>
      <c r="P33" s="667">
        <f t="shared" si="43"/>
        <v>0</v>
      </c>
      <c r="Q33" s="667">
        <f t="shared" si="44"/>
        <v>0</v>
      </c>
      <c r="R33" s="669">
        <v>0</v>
      </c>
      <c r="S33" s="667">
        <f t="shared" si="45"/>
        <v>0</v>
      </c>
      <c r="T33" s="670">
        <f t="shared" si="54"/>
        <v>0</v>
      </c>
      <c r="U33" s="667">
        <f t="shared" si="46"/>
        <v>0</v>
      </c>
      <c r="V33" s="667">
        <f t="shared" si="47"/>
        <v>0</v>
      </c>
      <c r="W33" s="671">
        <f t="shared" si="60"/>
        <v>0</v>
      </c>
      <c r="X33" s="666">
        <f>'6b-ADIT Projection Proration'!K33</f>
        <v>0</v>
      </c>
      <c r="Y33" s="667">
        <f t="shared" si="48"/>
        <v>0</v>
      </c>
      <c r="Z33" s="667">
        <f t="shared" si="49"/>
        <v>0</v>
      </c>
      <c r="AA33" s="669">
        <v>0</v>
      </c>
      <c r="AB33" s="667">
        <f t="shared" si="50"/>
        <v>0</v>
      </c>
      <c r="AC33" s="670">
        <f t="shared" si="56"/>
        <v>0</v>
      </c>
      <c r="AD33" s="667">
        <f t="shared" si="51"/>
        <v>0</v>
      </c>
      <c r="AE33" s="667">
        <f t="shared" si="52"/>
        <v>0</v>
      </c>
      <c r="AF33" s="671">
        <f t="shared" si="61"/>
        <v>0</v>
      </c>
    </row>
    <row r="34" spans="1:33">
      <c r="A34" s="663">
        <f t="shared" si="34"/>
        <v>24</v>
      </c>
      <c r="B34" s="653" t="s">
        <v>790</v>
      </c>
      <c r="C34" s="648" t="s">
        <v>304</v>
      </c>
      <c r="D34" s="664">
        <f t="shared" si="35"/>
        <v>2025</v>
      </c>
      <c r="E34" s="665">
        <f>93/365</f>
        <v>0.25479452054794521</v>
      </c>
      <c r="F34" s="666">
        <f>'6b-ADIT Projection Proration'!G34</f>
        <v>23266.488498800205</v>
      </c>
      <c r="G34" s="667">
        <f t="shared" si="36"/>
        <v>5928.1737818860802</v>
      </c>
      <c r="H34" s="667">
        <f t="shared" si="37"/>
        <v>123280.51714158794</v>
      </c>
      <c r="I34" s="669">
        <v>0</v>
      </c>
      <c r="J34" s="667">
        <f t="shared" si="38"/>
        <v>-23266.488498800205</v>
      </c>
      <c r="K34" s="670">
        <f t="shared" si="57"/>
        <v>0</v>
      </c>
      <c r="L34" s="667">
        <f t="shared" si="58"/>
        <v>11633.244249400102</v>
      </c>
      <c r="M34" s="667">
        <f t="shared" si="62"/>
        <v>11633.244249400102</v>
      </c>
      <c r="N34" s="671">
        <f t="shared" si="59"/>
        <v>-86117.879347613911</v>
      </c>
      <c r="O34" s="666">
        <f>'6b-ADIT Projection Proration'!I34</f>
        <v>0</v>
      </c>
      <c r="P34" s="667">
        <f t="shared" si="43"/>
        <v>0</v>
      </c>
      <c r="Q34" s="667">
        <f t="shared" si="44"/>
        <v>0</v>
      </c>
      <c r="R34" s="669">
        <v>0</v>
      </c>
      <c r="S34" s="667">
        <f t="shared" si="45"/>
        <v>0</v>
      </c>
      <c r="T34" s="670">
        <f t="shared" si="54"/>
        <v>0</v>
      </c>
      <c r="U34" s="667">
        <f t="shared" si="46"/>
        <v>0</v>
      </c>
      <c r="V34" s="667">
        <f t="shared" si="47"/>
        <v>0</v>
      </c>
      <c r="W34" s="671">
        <f t="shared" si="60"/>
        <v>0</v>
      </c>
      <c r="X34" s="666">
        <f>'6b-ADIT Projection Proration'!K34</f>
        <v>0</v>
      </c>
      <c r="Y34" s="667">
        <f t="shared" si="48"/>
        <v>0</v>
      </c>
      <c r="Z34" s="667">
        <f t="shared" si="49"/>
        <v>0</v>
      </c>
      <c r="AA34" s="669">
        <v>0</v>
      </c>
      <c r="AB34" s="667">
        <f t="shared" si="50"/>
        <v>0</v>
      </c>
      <c r="AC34" s="670">
        <f t="shared" si="56"/>
        <v>0</v>
      </c>
      <c r="AD34" s="667">
        <f t="shared" si="51"/>
        <v>0</v>
      </c>
      <c r="AE34" s="667">
        <f t="shared" si="52"/>
        <v>0</v>
      </c>
      <c r="AF34" s="671">
        <f t="shared" si="61"/>
        <v>0</v>
      </c>
    </row>
    <row r="35" spans="1:33">
      <c r="A35" s="663">
        <f t="shared" si="34"/>
        <v>25</v>
      </c>
      <c r="B35" s="653" t="s">
        <v>790</v>
      </c>
      <c r="C35" s="648" t="s">
        <v>311</v>
      </c>
      <c r="D35" s="664">
        <f t="shared" si="35"/>
        <v>2025</v>
      </c>
      <c r="E35" s="665">
        <f>62/365</f>
        <v>0.16986301369863013</v>
      </c>
      <c r="F35" s="666">
        <f>'6b-ADIT Projection Proration'!G35</f>
        <v>23266.488498800205</v>
      </c>
      <c r="G35" s="667">
        <f t="shared" si="36"/>
        <v>3952.1158545907197</v>
      </c>
      <c r="H35" s="667">
        <f t="shared" si="37"/>
        <v>127232.63299617867</v>
      </c>
      <c r="I35" s="669">
        <v>0</v>
      </c>
      <c r="J35" s="667">
        <f t="shared" si="38"/>
        <v>-23266.488498800205</v>
      </c>
      <c r="K35" s="670">
        <f t="shared" si="57"/>
        <v>0</v>
      </c>
      <c r="L35" s="667">
        <f t="shared" si="58"/>
        <v>11633.244249400102</v>
      </c>
      <c r="M35" s="667">
        <f t="shared" si="62"/>
        <v>11633.244249400102</v>
      </c>
      <c r="N35" s="671">
        <f t="shared" si="59"/>
        <v>-105432.25199182339</v>
      </c>
      <c r="O35" s="666">
        <f>'6b-ADIT Projection Proration'!I35</f>
        <v>0</v>
      </c>
      <c r="P35" s="667">
        <f t="shared" si="43"/>
        <v>0</v>
      </c>
      <c r="Q35" s="667">
        <f t="shared" si="44"/>
        <v>0</v>
      </c>
      <c r="R35" s="669">
        <v>0</v>
      </c>
      <c r="S35" s="667">
        <f t="shared" si="45"/>
        <v>0</v>
      </c>
      <c r="T35" s="670">
        <f t="shared" si="54"/>
        <v>0</v>
      </c>
      <c r="U35" s="667">
        <f t="shared" si="46"/>
        <v>0</v>
      </c>
      <c r="V35" s="667">
        <f t="shared" si="47"/>
        <v>0</v>
      </c>
      <c r="W35" s="671">
        <f t="shared" si="60"/>
        <v>0</v>
      </c>
      <c r="X35" s="666">
        <f>'6b-ADIT Projection Proration'!K35</f>
        <v>0</v>
      </c>
      <c r="Y35" s="667">
        <f t="shared" si="48"/>
        <v>0</v>
      </c>
      <c r="Z35" s="667">
        <f t="shared" si="49"/>
        <v>0</v>
      </c>
      <c r="AA35" s="669">
        <v>0</v>
      </c>
      <c r="AB35" s="667">
        <f t="shared" si="50"/>
        <v>0</v>
      </c>
      <c r="AC35" s="670">
        <f t="shared" si="56"/>
        <v>0</v>
      </c>
      <c r="AD35" s="667">
        <f t="shared" si="51"/>
        <v>0</v>
      </c>
      <c r="AE35" s="667">
        <f t="shared" si="52"/>
        <v>0</v>
      </c>
      <c r="AF35" s="671">
        <f t="shared" si="61"/>
        <v>0</v>
      </c>
    </row>
    <row r="36" spans="1:33">
      <c r="A36" s="663">
        <f t="shared" si="34"/>
        <v>26</v>
      </c>
      <c r="B36" s="653" t="s">
        <v>790</v>
      </c>
      <c r="C36" s="648" t="s">
        <v>306</v>
      </c>
      <c r="D36" s="664">
        <f t="shared" si="35"/>
        <v>2025</v>
      </c>
      <c r="E36" s="665">
        <f>32/365</f>
        <v>8.7671232876712329E-2</v>
      </c>
      <c r="F36" s="666">
        <f>'6b-ADIT Projection Proration'!G36</f>
        <v>23266.488498800205</v>
      </c>
      <c r="G36" s="667">
        <f t="shared" si="36"/>
        <v>2039.8017314016618</v>
      </c>
      <c r="H36" s="667">
        <f t="shared" si="37"/>
        <v>129272.43472758033</v>
      </c>
      <c r="I36" s="669">
        <v>0</v>
      </c>
      <c r="J36" s="667">
        <f t="shared" si="38"/>
        <v>-23266.488498800205</v>
      </c>
      <c r="K36" s="670">
        <f t="shared" si="57"/>
        <v>0</v>
      </c>
      <c r="L36" s="667">
        <f t="shared" si="58"/>
        <v>11633.244249400102</v>
      </c>
      <c r="M36" s="667">
        <f t="shared" si="62"/>
        <v>11633.244249400102</v>
      </c>
      <c r="N36" s="671">
        <f t="shared" si="59"/>
        <v>-126658.93875922193</v>
      </c>
      <c r="O36" s="666">
        <f>'6b-ADIT Projection Proration'!I36</f>
        <v>0</v>
      </c>
      <c r="P36" s="667">
        <f t="shared" si="43"/>
        <v>0</v>
      </c>
      <c r="Q36" s="667">
        <f t="shared" si="44"/>
        <v>0</v>
      </c>
      <c r="R36" s="669">
        <v>0</v>
      </c>
      <c r="S36" s="667">
        <f t="shared" si="45"/>
        <v>0</v>
      </c>
      <c r="T36" s="670">
        <f t="shared" si="54"/>
        <v>0</v>
      </c>
      <c r="U36" s="667">
        <f t="shared" si="46"/>
        <v>0</v>
      </c>
      <c r="V36" s="667">
        <f t="shared" si="47"/>
        <v>0</v>
      </c>
      <c r="W36" s="671">
        <f t="shared" si="60"/>
        <v>0</v>
      </c>
      <c r="X36" s="666">
        <f>'6b-ADIT Projection Proration'!K36</f>
        <v>0</v>
      </c>
      <c r="Y36" s="667">
        <f t="shared" si="48"/>
        <v>0</v>
      </c>
      <c r="Z36" s="667">
        <f t="shared" si="49"/>
        <v>0</v>
      </c>
      <c r="AA36" s="669">
        <v>0</v>
      </c>
      <c r="AB36" s="667">
        <f t="shared" si="50"/>
        <v>0</v>
      </c>
      <c r="AC36" s="670">
        <f t="shared" si="56"/>
        <v>0</v>
      </c>
      <c r="AD36" s="667">
        <f t="shared" si="51"/>
        <v>0</v>
      </c>
      <c r="AE36" s="667">
        <f t="shared" si="52"/>
        <v>0</v>
      </c>
      <c r="AF36" s="671">
        <f t="shared" si="61"/>
        <v>0</v>
      </c>
    </row>
    <row r="37" spans="1:33">
      <c r="A37" s="663">
        <f t="shared" si="34"/>
        <v>27</v>
      </c>
      <c r="B37" s="653" t="s">
        <v>790</v>
      </c>
      <c r="C37" s="648" t="s">
        <v>293</v>
      </c>
      <c r="D37" s="664">
        <f t="shared" si="35"/>
        <v>2025</v>
      </c>
      <c r="E37" s="665">
        <f>1/365</f>
        <v>2.7397260273972603E-3</v>
      </c>
      <c r="F37" s="672">
        <f>'6b-ADIT Projection Proration'!G37</f>
        <v>23266.488498800205</v>
      </c>
      <c r="G37" s="673">
        <f t="shared" si="36"/>
        <v>63.74380410630193</v>
      </c>
      <c r="H37" s="673">
        <f t="shared" si="37"/>
        <v>129336.17853168663</v>
      </c>
      <c r="I37" s="669">
        <v>0</v>
      </c>
      <c r="J37" s="667">
        <f t="shared" si="38"/>
        <v>-23266.488498800205</v>
      </c>
      <c r="K37" s="670">
        <f t="shared" si="57"/>
        <v>0</v>
      </c>
      <c r="L37" s="667">
        <f t="shared" si="58"/>
        <v>11633.244249400102</v>
      </c>
      <c r="M37" s="667">
        <f t="shared" si="62"/>
        <v>11633.244249400102</v>
      </c>
      <c r="N37" s="671">
        <f t="shared" si="59"/>
        <v>-149861.68345391584</v>
      </c>
      <c r="O37" s="672">
        <f>'6b-ADIT Projection Proration'!I37</f>
        <v>0</v>
      </c>
      <c r="P37" s="673">
        <f t="shared" si="43"/>
        <v>0</v>
      </c>
      <c r="Q37" s="673">
        <f t="shared" si="44"/>
        <v>0</v>
      </c>
      <c r="R37" s="674">
        <v>0</v>
      </c>
      <c r="S37" s="667">
        <f t="shared" si="45"/>
        <v>0</v>
      </c>
      <c r="T37" s="670">
        <f t="shared" si="54"/>
        <v>0</v>
      </c>
      <c r="U37" s="667">
        <f t="shared" si="46"/>
        <v>0</v>
      </c>
      <c r="V37" s="667">
        <f t="shared" si="47"/>
        <v>0</v>
      </c>
      <c r="W37" s="671">
        <f t="shared" si="60"/>
        <v>0</v>
      </c>
      <c r="X37" s="672">
        <f>'6b-ADIT Projection Proration'!K37</f>
        <v>0</v>
      </c>
      <c r="Y37" s="673">
        <f t="shared" si="48"/>
        <v>0</v>
      </c>
      <c r="Z37" s="673">
        <f t="shared" si="49"/>
        <v>0</v>
      </c>
      <c r="AA37" s="669">
        <v>0</v>
      </c>
      <c r="AB37" s="667">
        <f t="shared" si="50"/>
        <v>0</v>
      </c>
      <c r="AC37" s="670">
        <f t="shared" si="56"/>
        <v>0</v>
      </c>
      <c r="AD37" s="667">
        <f t="shared" si="51"/>
        <v>0</v>
      </c>
      <c r="AE37" s="667">
        <f t="shared" si="52"/>
        <v>0</v>
      </c>
      <c r="AF37" s="671">
        <f t="shared" si="61"/>
        <v>0</v>
      </c>
    </row>
    <row r="38" spans="1:33">
      <c r="A38" s="663">
        <f t="shared" si="34"/>
        <v>28</v>
      </c>
      <c r="B38" s="653" t="s">
        <v>794</v>
      </c>
      <c r="F38" s="666">
        <f t="shared" ref="F38:M38" si="63">SUM(F25:F37)</f>
        <v>279197.86198560247</v>
      </c>
      <c r="G38" s="676">
        <f t="shared" si="63"/>
        <v>129336.17853168663</v>
      </c>
      <c r="H38" s="667"/>
      <c r="I38" s="676">
        <f t="shared" si="63"/>
        <v>0</v>
      </c>
      <c r="J38" s="676">
        <f t="shared" si="63"/>
        <v>-279197.86198560247</v>
      </c>
      <c r="K38" s="676">
        <f t="shared" si="63"/>
        <v>0</v>
      </c>
      <c r="L38" s="676">
        <f t="shared" si="63"/>
        <v>139598.93099280124</v>
      </c>
      <c r="M38" s="676">
        <f t="shared" si="63"/>
        <v>139598.93099280124</v>
      </c>
      <c r="N38" s="677"/>
      <c r="O38" s="666">
        <f t="shared" ref="O38:P38" si="64">SUM(O25:O37)</f>
        <v>0</v>
      </c>
      <c r="P38" s="676">
        <f t="shared" si="64"/>
        <v>0</v>
      </c>
      <c r="Q38" s="667"/>
      <c r="R38" s="667">
        <f t="shared" ref="R38:V38" si="65">SUM(R25:R37)</f>
        <v>0</v>
      </c>
      <c r="S38" s="676">
        <f t="shared" si="65"/>
        <v>0</v>
      </c>
      <c r="T38" s="676">
        <f t="shared" si="65"/>
        <v>0</v>
      </c>
      <c r="U38" s="676">
        <f t="shared" si="65"/>
        <v>0</v>
      </c>
      <c r="V38" s="676">
        <f t="shared" si="65"/>
        <v>0</v>
      </c>
      <c r="W38" s="677"/>
      <c r="X38" s="666">
        <f t="shared" ref="X38:Y38" si="66">SUM(X25:X37)</f>
        <v>0</v>
      </c>
      <c r="Y38" s="676">
        <f t="shared" si="66"/>
        <v>0</v>
      </c>
      <c r="Z38" s="667"/>
      <c r="AA38" s="676">
        <f t="shared" ref="AA38:AE38" si="67">SUM(AA25:AA37)</f>
        <v>0</v>
      </c>
      <c r="AB38" s="676">
        <f t="shared" si="67"/>
        <v>0</v>
      </c>
      <c r="AC38" s="676">
        <f t="shared" si="67"/>
        <v>0</v>
      </c>
      <c r="AD38" s="676">
        <f t="shared" si="67"/>
        <v>0</v>
      </c>
      <c r="AE38" s="676">
        <f t="shared" si="67"/>
        <v>0</v>
      </c>
      <c r="AF38" s="677"/>
    </row>
    <row r="39" spans="1:33">
      <c r="A39" s="663"/>
      <c r="F39" s="666"/>
      <c r="G39" s="667"/>
      <c r="H39" s="667"/>
      <c r="I39" s="667"/>
      <c r="J39" s="667"/>
      <c r="K39" s="667"/>
      <c r="L39" s="667"/>
      <c r="M39" s="667"/>
      <c r="N39" s="668"/>
      <c r="O39" s="666"/>
      <c r="P39" s="667"/>
      <c r="Q39" s="667"/>
      <c r="R39" s="667"/>
      <c r="S39" s="667"/>
      <c r="T39" s="667"/>
      <c r="U39" s="667"/>
      <c r="V39" s="667"/>
      <c r="W39" s="668"/>
      <c r="X39" s="666"/>
      <c r="Y39" s="667"/>
      <c r="Z39" s="667"/>
      <c r="AA39" s="667"/>
      <c r="AB39" s="667"/>
      <c r="AC39" s="667"/>
      <c r="AD39" s="667"/>
      <c r="AE39" s="667"/>
      <c r="AF39" s="668"/>
    </row>
    <row r="40" spans="1:33">
      <c r="A40" s="648" t="s">
        <v>847</v>
      </c>
      <c r="D40" s="652"/>
      <c r="E40" s="652"/>
      <c r="F40" s="666"/>
      <c r="G40" s="667"/>
      <c r="H40" s="667"/>
      <c r="I40" s="667"/>
      <c r="J40" s="667"/>
      <c r="K40" s="667"/>
      <c r="L40" s="667"/>
      <c r="M40" s="667"/>
      <c r="N40" s="668"/>
      <c r="O40" s="666"/>
      <c r="P40" s="667"/>
      <c r="Q40" s="667"/>
      <c r="R40" s="667"/>
      <c r="S40" s="667"/>
      <c r="T40" s="667"/>
      <c r="U40" s="667"/>
      <c r="V40" s="667"/>
      <c r="W40" s="668"/>
      <c r="X40" s="666"/>
      <c r="Y40" s="667"/>
      <c r="Z40" s="667"/>
      <c r="AA40" s="667"/>
      <c r="AB40" s="667"/>
      <c r="AC40" s="667"/>
      <c r="AD40" s="667"/>
      <c r="AE40" s="667"/>
      <c r="AF40" s="668"/>
      <c r="AG40" s="652"/>
    </row>
    <row r="41" spans="1:33">
      <c r="A41" s="663">
        <f>A38+1</f>
        <v>29</v>
      </c>
      <c r="B41" s="653" t="s">
        <v>848</v>
      </c>
      <c r="C41" s="648" t="s">
        <v>293</v>
      </c>
      <c r="D41" s="664">
        <f>+D9</f>
        <v>2024</v>
      </c>
      <c r="E41" s="665">
        <f>365/365</f>
        <v>1</v>
      </c>
      <c r="F41" s="666"/>
      <c r="G41" s="667"/>
      <c r="H41" s="667">
        <f>'6c- ADIT BOY'!E28</f>
        <v>0</v>
      </c>
      <c r="I41" s="667"/>
      <c r="J41" s="667"/>
      <c r="K41" s="667"/>
      <c r="L41" s="667"/>
      <c r="M41" s="667"/>
      <c r="N41" s="668"/>
      <c r="O41" s="666"/>
      <c r="P41" s="667"/>
      <c r="Q41" s="667">
        <f>'6c- ADIT BOY'!F28</f>
        <v>0</v>
      </c>
      <c r="R41" s="667"/>
      <c r="S41" s="667"/>
      <c r="T41" s="667"/>
      <c r="U41" s="667"/>
      <c r="V41" s="667"/>
      <c r="W41" s="668"/>
      <c r="X41" s="666"/>
      <c r="Y41" s="667"/>
      <c r="Z41" s="667">
        <f>'6c- ADIT BOY'!G28</f>
        <v>0</v>
      </c>
      <c r="AA41" s="667"/>
      <c r="AB41" s="667"/>
      <c r="AC41" s="667"/>
      <c r="AD41" s="667"/>
      <c r="AE41" s="667"/>
      <c r="AF41" s="668"/>
    </row>
    <row r="42" spans="1:33">
      <c r="A42" s="663">
        <f t="shared" ref="A42:A54" si="68">+A41+1</f>
        <v>30</v>
      </c>
      <c r="B42" s="653" t="s">
        <v>790</v>
      </c>
      <c r="C42" s="648" t="s">
        <v>295</v>
      </c>
      <c r="D42" s="664">
        <f t="shared" ref="D42:D53" si="69">+D10</f>
        <v>2025</v>
      </c>
      <c r="E42" s="665">
        <f>335/365</f>
        <v>0.9178082191780822</v>
      </c>
      <c r="F42" s="666">
        <f>'6b-ADIT Projection Proration'!G42</f>
        <v>0</v>
      </c>
      <c r="G42" s="667">
        <f t="shared" ref="G42:G53" si="70">$E42*F42</f>
        <v>0</v>
      </c>
      <c r="H42" s="667">
        <f t="shared" ref="H42:H53" si="71">+G42+H41</f>
        <v>0</v>
      </c>
      <c r="I42" s="669">
        <v>0</v>
      </c>
      <c r="J42" s="667">
        <f t="shared" ref="J42:J53" si="72">I42-F42</f>
        <v>0</v>
      </c>
      <c r="K42" s="670">
        <f t="shared" ref="K42:K44" si="73">IF(J42&gt;=0,+J42*0.5,0)</f>
        <v>0</v>
      </c>
      <c r="L42" s="667">
        <f t="shared" ref="L42:L44" si="74">IF(K42&gt;0,0,IF(I42&lt;0,0,(-(J42)*0.5)))</f>
        <v>0</v>
      </c>
      <c r="M42" s="667">
        <f t="shared" ref="M42:M46" si="75">IF(K42&gt;0,0,IF(I42&gt;0,0,(-(J42)*0.5)))</f>
        <v>0</v>
      </c>
      <c r="N42" s="671">
        <f t="shared" ref="N42:N44" si="76">+N41+G42+K42-L42-M42</f>
        <v>0</v>
      </c>
      <c r="O42" s="666">
        <f>'6b-ADIT Projection Proration'!I42</f>
        <v>0</v>
      </c>
      <c r="P42" s="667">
        <f t="shared" ref="P42:P53" si="77">$E42*O42</f>
        <v>0</v>
      </c>
      <c r="Q42" s="667">
        <f t="shared" ref="Q42:Q53" si="78">+P42+Q41</f>
        <v>0</v>
      </c>
      <c r="R42" s="669">
        <v>0</v>
      </c>
      <c r="S42" s="667">
        <f t="shared" ref="S42:S53" si="79">R42-O42</f>
        <v>0</v>
      </c>
      <c r="T42" s="670">
        <f>IF(S42&gt;=0,+S42*E42,0)</f>
        <v>0</v>
      </c>
      <c r="U42" s="667">
        <f t="shared" ref="U42:U53" si="80">IF(T42&gt;0,0,IF(R42&lt;0,0,(-(S42)*($E42))))</f>
        <v>0</v>
      </c>
      <c r="V42" s="667">
        <f t="shared" ref="V42:V53" si="81">IF(T42&gt;0,0,IF(R42&gt;0,0,(-(S42)*($E42))))</f>
        <v>0</v>
      </c>
      <c r="W42" s="671">
        <f t="shared" ref="W42:W44" si="82">+W41+P42+T42-U42-V42</f>
        <v>0</v>
      </c>
      <c r="X42" s="666">
        <f>'6b-ADIT Projection Proration'!K42</f>
        <v>0</v>
      </c>
      <c r="Y42" s="667">
        <f t="shared" ref="Y42:Y53" si="83">$E42*X42</f>
        <v>0</v>
      </c>
      <c r="Z42" s="667">
        <f t="shared" ref="Z42:Z53" si="84">+Y42+Z41</f>
        <v>0</v>
      </c>
      <c r="AA42" s="669">
        <v>0</v>
      </c>
      <c r="AB42" s="667">
        <f t="shared" ref="AB42:AB53" si="85">AA42-X42</f>
        <v>0</v>
      </c>
      <c r="AC42" s="670">
        <f>IF(AB42&gt;=0,+AB42*E42,0)</f>
        <v>0</v>
      </c>
      <c r="AD42" s="667">
        <f t="shared" ref="AD42:AD53" si="86">IF(AC42&gt;0,0,IF(AA42&lt;0,0,(-(AB42)*($E42))))</f>
        <v>0</v>
      </c>
      <c r="AE42" s="667">
        <f t="shared" ref="AE42:AE53" si="87">IF(AC42&gt;0,0,IF(AA42&gt;0,0,(-(AB42)*($E42))))</f>
        <v>0</v>
      </c>
      <c r="AF42" s="671">
        <f t="shared" ref="AF42:AF44" si="88">+AF41+Y42+AC42-AD42-AE42</f>
        <v>0</v>
      </c>
    </row>
    <row r="43" spans="1:33">
      <c r="A43" s="663">
        <f t="shared" si="68"/>
        <v>31</v>
      </c>
      <c r="B43" s="653" t="s">
        <v>790</v>
      </c>
      <c r="C43" s="648" t="s">
        <v>297</v>
      </c>
      <c r="D43" s="664">
        <f t="shared" si="69"/>
        <v>2025</v>
      </c>
      <c r="E43" s="665">
        <f>307/365</f>
        <v>0.84109589041095889</v>
      </c>
      <c r="F43" s="666">
        <f>'6b-ADIT Projection Proration'!G43</f>
        <v>0</v>
      </c>
      <c r="G43" s="667">
        <f t="shared" si="70"/>
        <v>0</v>
      </c>
      <c r="H43" s="667">
        <f t="shared" si="71"/>
        <v>0</v>
      </c>
      <c r="I43" s="669">
        <v>0</v>
      </c>
      <c r="J43" s="667">
        <f t="shared" si="72"/>
        <v>0</v>
      </c>
      <c r="K43" s="670">
        <f t="shared" si="73"/>
        <v>0</v>
      </c>
      <c r="L43" s="667">
        <f t="shared" si="74"/>
        <v>0</v>
      </c>
      <c r="M43" s="667">
        <f t="shared" si="75"/>
        <v>0</v>
      </c>
      <c r="N43" s="671">
        <f t="shared" si="76"/>
        <v>0</v>
      </c>
      <c r="O43" s="666">
        <f>'6b-ADIT Projection Proration'!I43</f>
        <v>0</v>
      </c>
      <c r="P43" s="667">
        <f t="shared" si="77"/>
        <v>0</v>
      </c>
      <c r="Q43" s="667">
        <f t="shared" si="78"/>
        <v>0</v>
      </c>
      <c r="R43" s="669">
        <v>0</v>
      </c>
      <c r="S43" s="667">
        <f t="shared" si="79"/>
        <v>0</v>
      </c>
      <c r="T43" s="670">
        <f t="shared" ref="T43:T53" si="89">IF(S43&gt;=0,+S43*E43,0)</f>
        <v>0</v>
      </c>
      <c r="U43" s="667">
        <f t="shared" si="80"/>
        <v>0</v>
      </c>
      <c r="V43" s="667">
        <f t="shared" si="81"/>
        <v>0</v>
      </c>
      <c r="W43" s="671">
        <f t="shared" si="82"/>
        <v>0</v>
      </c>
      <c r="X43" s="666">
        <f>'6b-ADIT Projection Proration'!K43</f>
        <v>0</v>
      </c>
      <c r="Y43" s="667">
        <f t="shared" si="83"/>
        <v>0</v>
      </c>
      <c r="Z43" s="667">
        <f t="shared" si="84"/>
        <v>0</v>
      </c>
      <c r="AA43" s="669">
        <v>0</v>
      </c>
      <c r="AB43" s="667">
        <f t="shared" si="85"/>
        <v>0</v>
      </c>
      <c r="AC43" s="670">
        <f t="shared" ref="AC43:AC53" si="90">IF(AB43&gt;=0,+AB43*E43,0)</f>
        <v>0</v>
      </c>
      <c r="AD43" s="667">
        <f t="shared" si="86"/>
        <v>0</v>
      </c>
      <c r="AE43" s="667">
        <f t="shared" si="87"/>
        <v>0</v>
      </c>
      <c r="AF43" s="671">
        <f t="shared" si="88"/>
        <v>0</v>
      </c>
    </row>
    <row r="44" spans="1:33">
      <c r="A44" s="663">
        <f t="shared" si="68"/>
        <v>32</v>
      </c>
      <c r="B44" s="653" t="s">
        <v>790</v>
      </c>
      <c r="C44" s="648" t="s">
        <v>298</v>
      </c>
      <c r="D44" s="664">
        <f t="shared" si="69"/>
        <v>2025</v>
      </c>
      <c r="E44" s="665">
        <f>276/365</f>
        <v>0.75616438356164384</v>
      </c>
      <c r="F44" s="666">
        <f>'6b-ADIT Projection Proration'!G44</f>
        <v>0</v>
      </c>
      <c r="G44" s="667">
        <f t="shared" si="70"/>
        <v>0</v>
      </c>
      <c r="H44" s="667">
        <f t="shared" si="71"/>
        <v>0</v>
      </c>
      <c r="I44" s="669">
        <v>0</v>
      </c>
      <c r="J44" s="667">
        <f t="shared" si="72"/>
        <v>0</v>
      </c>
      <c r="K44" s="670">
        <f t="shared" si="73"/>
        <v>0</v>
      </c>
      <c r="L44" s="667">
        <f t="shared" si="74"/>
        <v>0</v>
      </c>
      <c r="M44" s="667">
        <f t="shared" si="75"/>
        <v>0</v>
      </c>
      <c r="N44" s="671">
        <f t="shared" si="76"/>
        <v>0</v>
      </c>
      <c r="O44" s="666">
        <f>'6b-ADIT Projection Proration'!I44</f>
        <v>0</v>
      </c>
      <c r="P44" s="667">
        <f t="shared" si="77"/>
        <v>0</v>
      </c>
      <c r="Q44" s="667">
        <f t="shared" si="78"/>
        <v>0</v>
      </c>
      <c r="R44" s="669">
        <v>0</v>
      </c>
      <c r="S44" s="667">
        <f t="shared" si="79"/>
        <v>0</v>
      </c>
      <c r="T44" s="670">
        <f t="shared" si="89"/>
        <v>0</v>
      </c>
      <c r="U44" s="667">
        <f t="shared" si="80"/>
        <v>0</v>
      </c>
      <c r="V44" s="667">
        <f t="shared" si="81"/>
        <v>0</v>
      </c>
      <c r="W44" s="671">
        <f t="shared" si="82"/>
        <v>0</v>
      </c>
      <c r="X44" s="666">
        <f>'6b-ADIT Projection Proration'!K44</f>
        <v>0</v>
      </c>
      <c r="Y44" s="667">
        <f t="shared" si="83"/>
        <v>0</v>
      </c>
      <c r="Z44" s="667">
        <f t="shared" si="84"/>
        <v>0</v>
      </c>
      <c r="AA44" s="669">
        <v>0</v>
      </c>
      <c r="AB44" s="667">
        <f t="shared" si="85"/>
        <v>0</v>
      </c>
      <c r="AC44" s="670">
        <f t="shared" si="90"/>
        <v>0</v>
      </c>
      <c r="AD44" s="667">
        <f t="shared" si="86"/>
        <v>0</v>
      </c>
      <c r="AE44" s="667">
        <f t="shared" si="87"/>
        <v>0</v>
      </c>
      <c r="AF44" s="671">
        <f t="shared" si="88"/>
        <v>0</v>
      </c>
    </row>
    <row r="45" spans="1:33">
      <c r="A45" s="663">
        <f t="shared" si="68"/>
        <v>33</v>
      </c>
      <c r="B45" s="653" t="s">
        <v>790</v>
      </c>
      <c r="C45" s="648" t="s">
        <v>299</v>
      </c>
      <c r="D45" s="664">
        <f t="shared" si="69"/>
        <v>2025</v>
      </c>
      <c r="E45" s="665">
        <f>246/365</f>
        <v>0.67397260273972603</v>
      </c>
      <c r="F45" s="666">
        <f>'6b-ADIT Projection Proration'!G45</f>
        <v>0</v>
      </c>
      <c r="G45" s="667">
        <f t="shared" si="70"/>
        <v>0</v>
      </c>
      <c r="H45" s="667">
        <f t="shared" si="71"/>
        <v>0</v>
      </c>
      <c r="I45" s="669">
        <v>0</v>
      </c>
      <c r="J45" s="667">
        <f t="shared" si="72"/>
        <v>0</v>
      </c>
      <c r="K45" s="670">
        <f>IF(J45&gt;=0,+J45*0.5,0)</f>
        <v>0</v>
      </c>
      <c r="L45" s="667">
        <f>IF(K45&gt;0,0,IF(I45&lt;0,0,(-(J45)*0.5)))</f>
        <v>0</v>
      </c>
      <c r="M45" s="667">
        <f t="shared" si="75"/>
        <v>0</v>
      </c>
      <c r="N45" s="671">
        <f>+N44+G45+K45-L45-M45</f>
        <v>0</v>
      </c>
      <c r="O45" s="666">
        <f>'6b-ADIT Projection Proration'!I45</f>
        <v>0</v>
      </c>
      <c r="P45" s="667">
        <f t="shared" si="77"/>
        <v>0</v>
      </c>
      <c r="Q45" s="667">
        <f t="shared" si="78"/>
        <v>0</v>
      </c>
      <c r="R45" s="669">
        <v>0</v>
      </c>
      <c r="S45" s="667">
        <f t="shared" si="79"/>
        <v>0</v>
      </c>
      <c r="T45" s="670">
        <f t="shared" si="89"/>
        <v>0</v>
      </c>
      <c r="U45" s="667">
        <f t="shared" si="80"/>
        <v>0</v>
      </c>
      <c r="V45" s="667">
        <f t="shared" si="81"/>
        <v>0</v>
      </c>
      <c r="W45" s="671">
        <f>+W44+P45+T45-U45-V45</f>
        <v>0</v>
      </c>
      <c r="X45" s="666">
        <f>'6b-ADIT Projection Proration'!K45</f>
        <v>0</v>
      </c>
      <c r="Y45" s="667">
        <f t="shared" si="83"/>
        <v>0</v>
      </c>
      <c r="Z45" s="667">
        <f t="shared" si="84"/>
        <v>0</v>
      </c>
      <c r="AA45" s="669">
        <v>0</v>
      </c>
      <c r="AB45" s="667">
        <f t="shared" si="85"/>
        <v>0</v>
      </c>
      <c r="AC45" s="670">
        <f t="shared" si="90"/>
        <v>0</v>
      </c>
      <c r="AD45" s="667">
        <f t="shared" si="86"/>
        <v>0</v>
      </c>
      <c r="AE45" s="667">
        <f t="shared" si="87"/>
        <v>0</v>
      </c>
      <c r="AF45" s="671">
        <f>+AF44+Y45+AC45-AD45-AE45</f>
        <v>0</v>
      </c>
    </row>
    <row r="46" spans="1:33">
      <c r="A46" s="663">
        <f t="shared" si="68"/>
        <v>34</v>
      </c>
      <c r="B46" s="653" t="s">
        <v>790</v>
      </c>
      <c r="C46" s="648" t="s">
        <v>300</v>
      </c>
      <c r="D46" s="664">
        <f t="shared" si="69"/>
        <v>2025</v>
      </c>
      <c r="E46" s="665">
        <f>215/365</f>
        <v>0.58904109589041098</v>
      </c>
      <c r="F46" s="666">
        <f>'6b-ADIT Projection Proration'!G46</f>
        <v>0</v>
      </c>
      <c r="G46" s="667">
        <f t="shared" si="70"/>
        <v>0</v>
      </c>
      <c r="H46" s="667">
        <f t="shared" si="71"/>
        <v>0</v>
      </c>
      <c r="I46" s="669">
        <v>0</v>
      </c>
      <c r="J46" s="667">
        <f t="shared" si="72"/>
        <v>0</v>
      </c>
      <c r="K46" s="670">
        <f t="shared" ref="K46:K53" si="91">IF(J46&gt;=0,+J46*0.5,0)</f>
        <v>0</v>
      </c>
      <c r="L46" s="667">
        <f t="shared" ref="L46:L53" si="92">IF(K46&gt;0,0,IF(I46&lt;0,0,(-(J46)*0.5)))</f>
        <v>0</v>
      </c>
      <c r="M46" s="667">
        <f t="shared" si="75"/>
        <v>0</v>
      </c>
      <c r="N46" s="671">
        <f t="shared" ref="N46:N53" si="93">+N45+G46+K46-L46-M46</f>
        <v>0</v>
      </c>
      <c r="O46" s="666">
        <f>'6b-ADIT Projection Proration'!I46</f>
        <v>0</v>
      </c>
      <c r="P46" s="667">
        <f t="shared" si="77"/>
        <v>0</v>
      </c>
      <c r="Q46" s="667">
        <f t="shared" si="78"/>
        <v>0</v>
      </c>
      <c r="R46" s="669">
        <v>0</v>
      </c>
      <c r="S46" s="667">
        <f t="shared" si="79"/>
        <v>0</v>
      </c>
      <c r="T46" s="670">
        <f t="shared" si="89"/>
        <v>0</v>
      </c>
      <c r="U46" s="667">
        <f t="shared" si="80"/>
        <v>0</v>
      </c>
      <c r="V46" s="667">
        <f t="shared" si="81"/>
        <v>0</v>
      </c>
      <c r="W46" s="671">
        <f t="shared" ref="W46:W53" si="94">+W45+P46+T46-U46-V46</f>
        <v>0</v>
      </c>
      <c r="X46" s="666">
        <f>'6b-ADIT Projection Proration'!K46</f>
        <v>0</v>
      </c>
      <c r="Y46" s="667">
        <f t="shared" si="83"/>
        <v>0</v>
      </c>
      <c r="Z46" s="667">
        <f t="shared" si="84"/>
        <v>0</v>
      </c>
      <c r="AA46" s="669">
        <v>0</v>
      </c>
      <c r="AB46" s="667">
        <f t="shared" si="85"/>
        <v>0</v>
      </c>
      <c r="AC46" s="670">
        <f t="shared" si="90"/>
        <v>0</v>
      </c>
      <c r="AD46" s="667">
        <f t="shared" si="86"/>
        <v>0</v>
      </c>
      <c r="AE46" s="667">
        <f t="shared" si="87"/>
        <v>0</v>
      </c>
      <c r="AF46" s="671">
        <f t="shared" ref="AF46:AF53" si="95">+AF45+Y46+AC46-AD46-AE46</f>
        <v>0</v>
      </c>
    </row>
    <row r="47" spans="1:33">
      <c r="A47" s="663">
        <f t="shared" si="68"/>
        <v>35</v>
      </c>
      <c r="B47" s="653" t="s">
        <v>790</v>
      </c>
      <c r="C47" s="648" t="s">
        <v>466</v>
      </c>
      <c r="D47" s="664">
        <f t="shared" si="69"/>
        <v>2025</v>
      </c>
      <c r="E47" s="665">
        <f>185/365</f>
        <v>0.50684931506849318</v>
      </c>
      <c r="F47" s="666">
        <f>'6b-ADIT Projection Proration'!G47</f>
        <v>0</v>
      </c>
      <c r="G47" s="667">
        <f t="shared" si="70"/>
        <v>0</v>
      </c>
      <c r="H47" s="667">
        <f t="shared" si="71"/>
        <v>0</v>
      </c>
      <c r="I47" s="669">
        <v>0</v>
      </c>
      <c r="J47" s="667">
        <f t="shared" si="72"/>
        <v>0</v>
      </c>
      <c r="K47" s="670">
        <f t="shared" si="91"/>
        <v>0</v>
      </c>
      <c r="L47" s="667">
        <f t="shared" si="92"/>
        <v>0</v>
      </c>
      <c r="M47" s="667">
        <f>IF(K47&gt;0,0,IF(I47&gt;0,0,(-(J47)*0.5)))</f>
        <v>0</v>
      </c>
      <c r="N47" s="671">
        <f t="shared" si="93"/>
        <v>0</v>
      </c>
      <c r="O47" s="666">
        <f>'6b-ADIT Projection Proration'!I47</f>
        <v>0</v>
      </c>
      <c r="P47" s="667">
        <f t="shared" si="77"/>
        <v>0</v>
      </c>
      <c r="Q47" s="667">
        <f t="shared" si="78"/>
        <v>0</v>
      </c>
      <c r="R47" s="669">
        <v>0</v>
      </c>
      <c r="S47" s="667">
        <f t="shared" si="79"/>
        <v>0</v>
      </c>
      <c r="T47" s="670">
        <f t="shared" si="89"/>
        <v>0</v>
      </c>
      <c r="U47" s="667">
        <f t="shared" si="80"/>
        <v>0</v>
      </c>
      <c r="V47" s="667">
        <f t="shared" si="81"/>
        <v>0</v>
      </c>
      <c r="W47" s="671">
        <f t="shared" si="94"/>
        <v>0</v>
      </c>
      <c r="X47" s="666">
        <f>'6b-ADIT Projection Proration'!K47</f>
        <v>0</v>
      </c>
      <c r="Y47" s="667">
        <f t="shared" si="83"/>
        <v>0</v>
      </c>
      <c r="Z47" s="667">
        <f t="shared" si="84"/>
        <v>0</v>
      </c>
      <c r="AA47" s="669">
        <v>0</v>
      </c>
      <c r="AB47" s="667">
        <f t="shared" si="85"/>
        <v>0</v>
      </c>
      <c r="AC47" s="670">
        <f t="shared" si="90"/>
        <v>0</v>
      </c>
      <c r="AD47" s="667">
        <f t="shared" si="86"/>
        <v>0</v>
      </c>
      <c r="AE47" s="667">
        <f t="shared" si="87"/>
        <v>0</v>
      </c>
      <c r="AF47" s="671">
        <f t="shared" si="95"/>
        <v>0</v>
      </c>
    </row>
    <row r="48" spans="1:33">
      <c r="A48" s="663">
        <f t="shared" si="68"/>
        <v>36</v>
      </c>
      <c r="B48" s="653" t="s">
        <v>790</v>
      </c>
      <c r="C48" s="648" t="s">
        <v>302</v>
      </c>
      <c r="D48" s="664">
        <f t="shared" si="69"/>
        <v>2025</v>
      </c>
      <c r="E48" s="665">
        <f>154/365</f>
        <v>0.42191780821917807</v>
      </c>
      <c r="F48" s="666">
        <f>'6b-ADIT Projection Proration'!G48</f>
        <v>0</v>
      </c>
      <c r="G48" s="667">
        <f t="shared" si="70"/>
        <v>0</v>
      </c>
      <c r="H48" s="667">
        <f t="shared" si="71"/>
        <v>0</v>
      </c>
      <c r="I48" s="669">
        <v>0</v>
      </c>
      <c r="J48" s="667">
        <f t="shared" si="72"/>
        <v>0</v>
      </c>
      <c r="K48" s="670">
        <f t="shared" si="91"/>
        <v>0</v>
      </c>
      <c r="L48" s="667">
        <f t="shared" si="92"/>
        <v>0</v>
      </c>
      <c r="M48" s="667">
        <f t="shared" ref="M48:M53" si="96">IF(K48&gt;0,0,IF(I48&gt;0,0,(-(J48)*0.5)))</f>
        <v>0</v>
      </c>
      <c r="N48" s="671">
        <f t="shared" si="93"/>
        <v>0</v>
      </c>
      <c r="O48" s="666">
        <f>'6b-ADIT Projection Proration'!I48</f>
        <v>0</v>
      </c>
      <c r="P48" s="667">
        <f t="shared" si="77"/>
        <v>0</v>
      </c>
      <c r="Q48" s="667">
        <f t="shared" si="78"/>
        <v>0</v>
      </c>
      <c r="R48" s="669">
        <v>0</v>
      </c>
      <c r="S48" s="667">
        <f t="shared" si="79"/>
        <v>0</v>
      </c>
      <c r="T48" s="670">
        <f t="shared" si="89"/>
        <v>0</v>
      </c>
      <c r="U48" s="667">
        <f t="shared" si="80"/>
        <v>0</v>
      </c>
      <c r="V48" s="667">
        <f t="shared" si="81"/>
        <v>0</v>
      </c>
      <c r="W48" s="671">
        <f t="shared" si="94"/>
        <v>0</v>
      </c>
      <c r="X48" s="666">
        <f>'6b-ADIT Projection Proration'!K48</f>
        <v>0</v>
      </c>
      <c r="Y48" s="667">
        <f t="shared" si="83"/>
        <v>0</v>
      </c>
      <c r="Z48" s="667">
        <f t="shared" si="84"/>
        <v>0</v>
      </c>
      <c r="AA48" s="669">
        <v>0</v>
      </c>
      <c r="AB48" s="667">
        <f t="shared" si="85"/>
        <v>0</v>
      </c>
      <c r="AC48" s="670">
        <f t="shared" si="90"/>
        <v>0</v>
      </c>
      <c r="AD48" s="667">
        <f t="shared" si="86"/>
        <v>0</v>
      </c>
      <c r="AE48" s="667">
        <f t="shared" si="87"/>
        <v>0</v>
      </c>
      <c r="AF48" s="671">
        <f t="shared" si="95"/>
        <v>0</v>
      </c>
    </row>
    <row r="49" spans="1:32">
      <c r="A49" s="663">
        <f t="shared" si="68"/>
        <v>37</v>
      </c>
      <c r="B49" s="653" t="s">
        <v>790</v>
      </c>
      <c r="C49" s="648" t="s">
        <v>303</v>
      </c>
      <c r="D49" s="664">
        <f t="shared" si="69"/>
        <v>2025</v>
      </c>
      <c r="E49" s="665">
        <f>123/365</f>
        <v>0.33698630136986302</v>
      </c>
      <c r="F49" s="666">
        <f>'6b-ADIT Projection Proration'!G49</f>
        <v>0</v>
      </c>
      <c r="G49" s="667">
        <f t="shared" si="70"/>
        <v>0</v>
      </c>
      <c r="H49" s="667">
        <f t="shared" si="71"/>
        <v>0</v>
      </c>
      <c r="I49" s="669">
        <v>0</v>
      </c>
      <c r="J49" s="667">
        <f t="shared" si="72"/>
        <v>0</v>
      </c>
      <c r="K49" s="670">
        <f t="shared" si="91"/>
        <v>0</v>
      </c>
      <c r="L49" s="667">
        <f t="shared" si="92"/>
        <v>0</v>
      </c>
      <c r="M49" s="667">
        <f t="shared" si="96"/>
        <v>0</v>
      </c>
      <c r="N49" s="671">
        <f t="shared" si="93"/>
        <v>0</v>
      </c>
      <c r="O49" s="666">
        <f>'6b-ADIT Projection Proration'!I49</f>
        <v>0</v>
      </c>
      <c r="P49" s="667">
        <f t="shared" si="77"/>
        <v>0</v>
      </c>
      <c r="Q49" s="667">
        <f t="shared" si="78"/>
        <v>0</v>
      </c>
      <c r="R49" s="669">
        <v>0</v>
      </c>
      <c r="S49" s="667">
        <f t="shared" si="79"/>
        <v>0</v>
      </c>
      <c r="T49" s="670">
        <f t="shared" si="89"/>
        <v>0</v>
      </c>
      <c r="U49" s="667">
        <f t="shared" si="80"/>
        <v>0</v>
      </c>
      <c r="V49" s="667">
        <f t="shared" si="81"/>
        <v>0</v>
      </c>
      <c r="W49" s="671">
        <f t="shared" si="94"/>
        <v>0</v>
      </c>
      <c r="X49" s="666">
        <f>'6b-ADIT Projection Proration'!K49</f>
        <v>0</v>
      </c>
      <c r="Y49" s="667">
        <f t="shared" si="83"/>
        <v>0</v>
      </c>
      <c r="Z49" s="667">
        <f t="shared" si="84"/>
        <v>0</v>
      </c>
      <c r="AA49" s="669">
        <v>0</v>
      </c>
      <c r="AB49" s="667">
        <f t="shared" si="85"/>
        <v>0</v>
      </c>
      <c r="AC49" s="670">
        <f t="shared" si="90"/>
        <v>0</v>
      </c>
      <c r="AD49" s="667">
        <f t="shared" si="86"/>
        <v>0</v>
      </c>
      <c r="AE49" s="667">
        <f t="shared" si="87"/>
        <v>0</v>
      </c>
      <c r="AF49" s="671">
        <f t="shared" si="95"/>
        <v>0</v>
      </c>
    </row>
    <row r="50" spans="1:32">
      <c r="A50" s="663">
        <f t="shared" si="68"/>
        <v>38</v>
      </c>
      <c r="B50" s="653" t="s">
        <v>790</v>
      </c>
      <c r="C50" s="648" t="s">
        <v>304</v>
      </c>
      <c r="D50" s="664">
        <f t="shared" si="69"/>
        <v>2025</v>
      </c>
      <c r="E50" s="665">
        <f>93/365</f>
        <v>0.25479452054794521</v>
      </c>
      <c r="F50" s="666">
        <f>'6b-ADIT Projection Proration'!G50</f>
        <v>0</v>
      </c>
      <c r="G50" s="667">
        <f t="shared" si="70"/>
        <v>0</v>
      </c>
      <c r="H50" s="667">
        <f t="shared" si="71"/>
        <v>0</v>
      </c>
      <c r="I50" s="669">
        <v>0</v>
      </c>
      <c r="J50" s="667">
        <f t="shared" si="72"/>
        <v>0</v>
      </c>
      <c r="K50" s="670">
        <f t="shared" si="91"/>
        <v>0</v>
      </c>
      <c r="L50" s="667">
        <f t="shared" si="92"/>
        <v>0</v>
      </c>
      <c r="M50" s="667">
        <f t="shared" si="96"/>
        <v>0</v>
      </c>
      <c r="N50" s="671">
        <f t="shared" si="93"/>
        <v>0</v>
      </c>
      <c r="O50" s="666">
        <f>'6b-ADIT Projection Proration'!I50</f>
        <v>0</v>
      </c>
      <c r="P50" s="667">
        <f t="shared" si="77"/>
        <v>0</v>
      </c>
      <c r="Q50" s="667">
        <f t="shared" si="78"/>
        <v>0</v>
      </c>
      <c r="R50" s="669">
        <v>0</v>
      </c>
      <c r="S50" s="667">
        <f t="shared" si="79"/>
        <v>0</v>
      </c>
      <c r="T50" s="670">
        <f t="shared" si="89"/>
        <v>0</v>
      </c>
      <c r="U50" s="667">
        <f t="shared" si="80"/>
        <v>0</v>
      </c>
      <c r="V50" s="667">
        <f t="shared" si="81"/>
        <v>0</v>
      </c>
      <c r="W50" s="671">
        <f t="shared" si="94"/>
        <v>0</v>
      </c>
      <c r="X50" s="666">
        <f>'6b-ADIT Projection Proration'!K50</f>
        <v>0</v>
      </c>
      <c r="Y50" s="667">
        <f t="shared" si="83"/>
        <v>0</v>
      </c>
      <c r="Z50" s="667">
        <f t="shared" si="84"/>
        <v>0</v>
      </c>
      <c r="AA50" s="669">
        <v>0</v>
      </c>
      <c r="AB50" s="667">
        <f t="shared" si="85"/>
        <v>0</v>
      </c>
      <c r="AC50" s="670">
        <f t="shared" si="90"/>
        <v>0</v>
      </c>
      <c r="AD50" s="667">
        <f t="shared" si="86"/>
        <v>0</v>
      </c>
      <c r="AE50" s="667">
        <f t="shared" si="87"/>
        <v>0</v>
      </c>
      <c r="AF50" s="671">
        <f t="shared" si="95"/>
        <v>0</v>
      </c>
    </row>
    <row r="51" spans="1:32">
      <c r="A51" s="663">
        <f t="shared" si="68"/>
        <v>39</v>
      </c>
      <c r="B51" s="653" t="s">
        <v>790</v>
      </c>
      <c r="C51" s="648" t="s">
        <v>311</v>
      </c>
      <c r="D51" s="664">
        <f t="shared" si="69"/>
        <v>2025</v>
      </c>
      <c r="E51" s="665">
        <f>62/365</f>
        <v>0.16986301369863013</v>
      </c>
      <c r="F51" s="666">
        <f>'6b-ADIT Projection Proration'!G51</f>
        <v>0</v>
      </c>
      <c r="G51" s="667">
        <f t="shared" si="70"/>
        <v>0</v>
      </c>
      <c r="H51" s="667">
        <f t="shared" si="71"/>
        <v>0</v>
      </c>
      <c r="I51" s="669">
        <v>0</v>
      </c>
      <c r="J51" s="667">
        <f t="shared" si="72"/>
        <v>0</v>
      </c>
      <c r="K51" s="670">
        <f t="shared" si="91"/>
        <v>0</v>
      </c>
      <c r="L51" s="667">
        <f t="shared" si="92"/>
        <v>0</v>
      </c>
      <c r="M51" s="667">
        <f t="shared" si="96"/>
        <v>0</v>
      </c>
      <c r="N51" s="671">
        <f t="shared" si="93"/>
        <v>0</v>
      </c>
      <c r="O51" s="666">
        <f>'6b-ADIT Projection Proration'!I51</f>
        <v>0</v>
      </c>
      <c r="P51" s="667">
        <f t="shared" si="77"/>
        <v>0</v>
      </c>
      <c r="Q51" s="667">
        <f t="shared" si="78"/>
        <v>0</v>
      </c>
      <c r="R51" s="669">
        <v>0</v>
      </c>
      <c r="S51" s="667">
        <f t="shared" si="79"/>
        <v>0</v>
      </c>
      <c r="T51" s="670">
        <f t="shared" si="89"/>
        <v>0</v>
      </c>
      <c r="U51" s="667">
        <f t="shared" si="80"/>
        <v>0</v>
      </c>
      <c r="V51" s="667">
        <f t="shared" si="81"/>
        <v>0</v>
      </c>
      <c r="W51" s="671">
        <f t="shared" si="94"/>
        <v>0</v>
      </c>
      <c r="X51" s="666">
        <f>'6b-ADIT Projection Proration'!K51</f>
        <v>0</v>
      </c>
      <c r="Y51" s="667">
        <f t="shared" si="83"/>
        <v>0</v>
      </c>
      <c r="Z51" s="667">
        <f t="shared" si="84"/>
        <v>0</v>
      </c>
      <c r="AA51" s="669">
        <v>0</v>
      </c>
      <c r="AB51" s="667">
        <f t="shared" si="85"/>
        <v>0</v>
      </c>
      <c r="AC51" s="670">
        <f t="shared" si="90"/>
        <v>0</v>
      </c>
      <c r="AD51" s="667">
        <f t="shared" si="86"/>
        <v>0</v>
      </c>
      <c r="AE51" s="667">
        <f t="shared" si="87"/>
        <v>0</v>
      </c>
      <c r="AF51" s="671">
        <f t="shared" si="95"/>
        <v>0</v>
      </c>
    </row>
    <row r="52" spans="1:32">
      <c r="A52" s="663">
        <f t="shared" si="68"/>
        <v>40</v>
      </c>
      <c r="B52" s="653" t="s">
        <v>790</v>
      </c>
      <c r="C52" s="648" t="s">
        <v>306</v>
      </c>
      <c r="D52" s="664">
        <f t="shared" si="69"/>
        <v>2025</v>
      </c>
      <c r="E52" s="665">
        <f>32/365</f>
        <v>8.7671232876712329E-2</v>
      </c>
      <c r="F52" s="666">
        <f>'6b-ADIT Projection Proration'!G52</f>
        <v>0</v>
      </c>
      <c r="G52" s="667">
        <f t="shared" si="70"/>
        <v>0</v>
      </c>
      <c r="H52" s="667">
        <f t="shared" si="71"/>
        <v>0</v>
      </c>
      <c r="I52" s="669">
        <v>0</v>
      </c>
      <c r="J52" s="667">
        <f t="shared" si="72"/>
        <v>0</v>
      </c>
      <c r="K52" s="670">
        <f t="shared" si="91"/>
        <v>0</v>
      </c>
      <c r="L52" s="667">
        <f t="shared" si="92"/>
        <v>0</v>
      </c>
      <c r="M52" s="667">
        <f t="shared" si="96"/>
        <v>0</v>
      </c>
      <c r="N52" s="671">
        <f t="shared" si="93"/>
        <v>0</v>
      </c>
      <c r="O52" s="666">
        <f>'6b-ADIT Projection Proration'!I52</f>
        <v>0</v>
      </c>
      <c r="P52" s="667">
        <f t="shared" si="77"/>
        <v>0</v>
      </c>
      <c r="Q52" s="667">
        <f t="shared" si="78"/>
        <v>0</v>
      </c>
      <c r="R52" s="669">
        <v>0</v>
      </c>
      <c r="S52" s="667">
        <f t="shared" si="79"/>
        <v>0</v>
      </c>
      <c r="T52" s="670">
        <f t="shared" si="89"/>
        <v>0</v>
      </c>
      <c r="U52" s="667">
        <f t="shared" si="80"/>
        <v>0</v>
      </c>
      <c r="V52" s="667">
        <f t="shared" si="81"/>
        <v>0</v>
      </c>
      <c r="W52" s="671">
        <f t="shared" si="94"/>
        <v>0</v>
      </c>
      <c r="X52" s="666">
        <f>'6b-ADIT Projection Proration'!K52</f>
        <v>0</v>
      </c>
      <c r="Y52" s="667">
        <f t="shared" si="83"/>
        <v>0</v>
      </c>
      <c r="Z52" s="667">
        <f t="shared" si="84"/>
        <v>0</v>
      </c>
      <c r="AA52" s="669">
        <v>0</v>
      </c>
      <c r="AB52" s="667">
        <f t="shared" si="85"/>
        <v>0</v>
      </c>
      <c r="AC52" s="670">
        <f t="shared" si="90"/>
        <v>0</v>
      </c>
      <c r="AD52" s="667">
        <f t="shared" si="86"/>
        <v>0</v>
      </c>
      <c r="AE52" s="667">
        <f t="shared" si="87"/>
        <v>0</v>
      </c>
      <c r="AF52" s="671">
        <f t="shared" si="95"/>
        <v>0</v>
      </c>
    </row>
    <row r="53" spans="1:32">
      <c r="A53" s="663">
        <f t="shared" si="68"/>
        <v>41</v>
      </c>
      <c r="B53" s="653" t="s">
        <v>790</v>
      </c>
      <c r="C53" s="648" t="s">
        <v>293</v>
      </c>
      <c r="D53" s="664">
        <f t="shared" si="69"/>
        <v>2025</v>
      </c>
      <c r="E53" s="665">
        <f>1/365</f>
        <v>2.7397260273972603E-3</v>
      </c>
      <c r="F53" s="672">
        <f>'6b-ADIT Projection Proration'!G53</f>
        <v>0</v>
      </c>
      <c r="G53" s="673">
        <f t="shared" si="70"/>
        <v>0</v>
      </c>
      <c r="H53" s="673">
        <f t="shared" si="71"/>
        <v>0</v>
      </c>
      <c r="I53" s="669">
        <v>0</v>
      </c>
      <c r="J53" s="667">
        <f t="shared" si="72"/>
        <v>0</v>
      </c>
      <c r="K53" s="670">
        <f t="shared" si="91"/>
        <v>0</v>
      </c>
      <c r="L53" s="667">
        <f t="shared" si="92"/>
        <v>0</v>
      </c>
      <c r="M53" s="667">
        <f t="shared" si="96"/>
        <v>0</v>
      </c>
      <c r="N53" s="671">
        <f t="shared" si="93"/>
        <v>0</v>
      </c>
      <c r="O53" s="672">
        <f>'6b-ADIT Projection Proration'!I53</f>
        <v>0</v>
      </c>
      <c r="P53" s="673">
        <f t="shared" si="77"/>
        <v>0</v>
      </c>
      <c r="Q53" s="673">
        <f t="shared" si="78"/>
        <v>0</v>
      </c>
      <c r="R53" s="674">
        <v>0</v>
      </c>
      <c r="S53" s="667">
        <f t="shared" si="79"/>
        <v>0</v>
      </c>
      <c r="T53" s="670">
        <f t="shared" si="89"/>
        <v>0</v>
      </c>
      <c r="U53" s="667">
        <f t="shared" si="80"/>
        <v>0</v>
      </c>
      <c r="V53" s="667">
        <f t="shared" si="81"/>
        <v>0</v>
      </c>
      <c r="W53" s="671">
        <f t="shared" si="94"/>
        <v>0</v>
      </c>
      <c r="X53" s="666">
        <f>'6b-ADIT Projection Proration'!K53</f>
        <v>0</v>
      </c>
      <c r="Y53" s="667">
        <f t="shared" si="83"/>
        <v>0</v>
      </c>
      <c r="Z53" s="667">
        <f t="shared" si="84"/>
        <v>0</v>
      </c>
      <c r="AA53" s="669">
        <v>0</v>
      </c>
      <c r="AB53" s="667">
        <f t="shared" si="85"/>
        <v>0</v>
      </c>
      <c r="AC53" s="670">
        <f t="shared" si="90"/>
        <v>0</v>
      </c>
      <c r="AD53" s="667">
        <f t="shared" si="86"/>
        <v>0</v>
      </c>
      <c r="AE53" s="667">
        <f t="shared" si="87"/>
        <v>0</v>
      </c>
      <c r="AF53" s="671">
        <f t="shared" si="95"/>
        <v>0</v>
      </c>
    </row>
    <row r="54" spans="1:32" ht="13.5" thickBot="1">
      <c r="A54" s="663">
        <f t="shared" si="68"/>
        <v>42</v>
      </c>
      <c r="B54" s="653" t="s">
        <v>797</v>
      </c>
      <c r="F54" s="678">
        <f t="shared" ref="F54:M54" si="97">SUM(F41:F53)</f>
        <v>0</v>
      </c>
      <c r="G54" s="679">
        <f t="shared" si="97"/>
        <v>0</v>
      </c>
      <c r="H54" s="679"/>
      <c r="I54" s="680">
        <f t="shared" si="97"/>
        <v>0</v>
      </c>
      <c r="J54" s="680">
        <f t="shared" si="97"/>
        <v>0</v>
      </c>
      <c r="K54" s="680">
        <f t="shared" si="97"/>
        <v>0</v>
      </c>
      <c r="L54" s="680">
        <f t="shared" si="97"/>
        <v>0</v>
      </c>
      <c r="M54" s="680">
        <f t="shared" si="97"/>
        <v>0</v>
      </c>
      <c r="N54" s="681"/>
      <c r="O54" s="678">
        <f t="shared" ref="O54:P54" si="98">SUM(O41:O53)</f>
        <v>0</v>
      </c>
      <c r="P54" s="679">
        <f t="shared" si="98"/>
        <v>0</v>
      </c>
      <c r="Q54" s="679"/>
      <c r="R54" s="679">
        <f t="shared" ref="R54:V54" si="99">SUM(R41:R53)</f>
        <v>0</v>
      </c>
      <c r="S54" s="680">
        <f t="shared" si="99"/>
        <v>0</v>
      </c>
      <c r="T54" s="680">
        <f t="shared" si="99"/>
        <v>0</v>
      </c>
      <c r="U54" s="680">
        <f t="shared" si="99"/>
        <v>0</v>
      </c>
      <c r="V54" s="680">
        <f t="shared" si="99"/>
        <v>0</v>
      </c>
      <c r="W54" s="681"/>
      <c r="X54" s="682">
        <f t="shared" ref="X54:Y54" si="100">SUM(X41:X53)</f>
        <v>0</v>
      </c>
      <c r="Y54" s="680">
        <f t="shared" si="100"/>
        <v>0</v>
      </c>
      <c r="Z54" s="680"/>
      <c r="AA54" s="680">
        <f t="shared" ref="AA54:AE54" si="101">SUM(AA41:AA53)</f>
        <v>0</v>
      </c>
      <c r="AB54" s="680">
        <f t="shared" si="101"/>
        <v>0</v>
      </c>
      <c r="AC54" s="680">
        <f t="shared" si="101"/>
        <v>0</v>
      </c>
      <c r="AD54" s="680">
        <f t="shared" si="101"/>
        <v>0</v>
      </c>
      <c r="AE54" s="680">
        <f t="shared" si="101"/>
        <v>0</v>
      </c>
      <c r="AF54" s="681"/>
    </row>
    <row r="55" spans="1:32">
      <c r="B55" s="648"/>
      <c r="F55" s="667"/>
      <c r="G55" s="667"/>
      <c r="H55" s="667"/>
      <c r="I55" s="667"/>
      <c r="J55" s="667"/>
      <c r="K55" s="667"/>
      <c r="L55" s="667"/>
      <c r="M55" s="667"/>
      <c r="N55" s="667"/>
      <c r="O55" s="675"/>
      <c r="P55" s="683"/>
      <c r="Q55" s="675"/>
      <c r="R55" s="683"/>
      <c r="S55" s="683"/>
      <c r="T55" s="683"/>
      <c r="U55" s="683"/>
      <c r="V55" s="683"/>
      <c r="W55" s="683"/>
      <c r="X55" s="675"/>
      <c r="Y55" s="683"/>
    </row>
    <row r="56" spans="1:32">
      <c r="B56" s="648"/>
    </row>
    <row r="57" spans="1:32">
      <c r="A57" s="684" t="s">
        <v>243</v>
      </c>
      <c r="B57" s="648" t="s">
        <v>798</v>
      </c>
    </row>
    <row r="58" spans="1:32">
      <c r="A58" s="684" t="s">
        <v>245</v>
      </c>
      <c r="B58" s="648" t="s">
        <v>799</v>
      </c>
      <c r="D58" s="685"/>
      <c r="E58" s="685"/>
      <c r="F58" s="685"/>
      <c r="G58" s="685"/>
      <c r="H58" s="685"/>
      <c r="I58" s="685"/>
      <c r="J58" s="685"/>
      <c r="K58" s="685"/>
      <c r="L58" s="685"/>
      <c r="M58" s="685"/>
      <c r="N58" s="685"/>
    </row>
    <row r="59" spans="1:32">
      <c r="A59" s="686" t="s">
        <v>185</v>
      </c>
      <c r="B59" s="648" t="s">
        <v>800</v>
      </c>
      <c r="D59" s="685"/>
      <c r="E59" s="685"/>
      <c r="F59" s="685"/>
      <c r="G59" s="685"/>
      <c r="H59" s="685"/>
      <c r="I59" s="685"/>
      <c r="J59" s="685"/>
      <c r="K59" s="685"/>
      <c r="L59" s="685"/>
      <c r="M59" s="685"/>
      <c r="N59" s="685"/>
    </row>
    <row r="60" spans="1:32">
      <c r="A60" s="686" t="s">
        <v>187</v>
      </c>
      <c r="B60" s="648" t="s">
        <v>849</v>
      </c>
      <c r="D60" s="685"/>
      <c r="E60" s="685"/>
      <c r="F60" s="685"/>
      <c r="G60" s="685"/>
      <c r="H60" s="685"/>
      <c r="I60" s="685"/>
      <c r="J60" s="685"/>
      <c r="K60" s="685"/>
      <c r="L60" s="685"/>
      <c r="M60" s="685"/>
      <c r="N60" s="685"/>
    </row>
    <row r="61" spans="1:32">
      <c r="A61" s="686" t="s">
        <v>189</v>
      </c>
      <c r="B61" s="653" t="s">
        <v>850</v>
      </c>
      <c r="D61" s="652"/>
      <c r="E61" s="652"/>
    </row>
    <row r="62" spans="1:32">
      <c r="D62" s="667"/>
      <c r="E62" s="667"/>
    </row>
    <row r="63" spans="1:32">
      <c r="D63" s="667"/>
      <c r="E63" s="667"/>
    </row>
    <row r="64" spans="1:32">
      <c r="D64" s="667"/>
      <c r="E64" s="667"/>
    </row>
    <row r="65" spans="2:24">
      <c r="D65" s="667"/>
      <c r="E65" s="667"/>
    </row>
    <row r="66" spans="2:24">
      <c r="D66" s="667"/>
      <c r="E66" s="667"/>
      <c r="O66" s="667"/>
      <c r="P66" s="667"/>
      <c r="Q66" s="667"/>
      <c r="R66" s="667"/>
      <c r="S66" s="667"/>
      <c r="T66" s="667"/>
      <c r="U66" s="667"/>
      <c r="V66" s="667"/>
      <c r="W66" s="667"/>
      <c r="X66" s="667"/>
    </row>
    <row r="67" spans="2:24">
      <c r="D67" s="667"/>
      <c r="E67" s="667"/>
    </row>
    <row r="68" spans="2:24">
      <c r="D68" s="667"/>
      <c r="E68" s="667"/>
    </row>
    <row r="69" spans="2:24">
      <c r="D69" s="667"/>
      <c r="E69" s="667"/>
    </row>
    <row r="70" spans="2:24">
      <c r="D70" s="667"/>
      <c r="E70" s="667"/>
    </row>
    <row r="71" spans="2:24">
      <c r="D71" s="667"/>
      <c r="E71" s="667"/>
    </row>
    <row r="72" spans="2:24">
      <c r="B72" s="648"/>
      <c r="D72" s="667"/>
      <c r="E72" s="667"/>
    </row>
    <row r="73" spans="2:24">
      <c r="D73" s="667"/>
      <c r="E73" s="667"/>
    </row>
    <row r="74" spans="2:24">
      <c r="B74" s="648"/>
      <c r="D74" s="667"/>
      <c r="E74" s="667"/>
    </row>
  </sheetData>
  <mergeCells count="6">
    <mergeCell ref="X5:AF5"/>
    <mergeCell ref="A1:N1"/>
    <mergeCell ref="A2:N2"/>
    <mergeCell ref="A3:N3"/>
    <mergeCell ref="F5:N5"/>
    <mergeCell ref="O5:W5"/>
  </mergeCells>
  <pageMargins left="0.7" right="0.7" top="0.75" bottom="0.75" header="0.3" footer="0.3"/>
  <pageSetup scale="21" orientation="portrait" r:id="rId1"/>
  <colBreaks count="2" manualBreakCount="2">
    <brk id="14" max="1048575" man="1"/>
    <brk id="23" max="1048575" man="1"/>
  </col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9F4D-60CC-4237-9723-96998963E442}">
  <sheetPr>
    <pageSetUpPr fitToPage="1"/>
  </sheetPr>
  <dimension ref="A1:Z48"/>
  <sheetViews>
    <sheetView view="pageBreakPreview" zoomScaleNormal="100" zoomScaleSheetLayoutView="100" workbookViewId="0">
      <selection activeCell="E187" sqref="E187"/>
    </sheetView>
  </sheetViews>
  <sheetFormatPr defaultColWidth="7.109375" defaultRowHeight="11.25"/>
  <cols>
    <col min="1" max="1" width="2.5546875" style="687" customWidth="1"/>
    <col min="2" max="2" width="7.6640625" style="710" customWidth="1"/>
    <col min="3" max="3" width="32.109375" style="710" customWidth="1"/>
    <col min="4" max="4" width="7.44140625" style="710" customWidth="1"/>
    <col min="5" max="16" width="7.44140625" style="715" customWidth="1"/>
    <col min="17" max="17" width="8.44140625" style="715" customWidth="1"/>
    <col min="18" max="18" width="1.44140625" style="715" customWidth="1"/>
    <col min="19" max="19" width="10" style="715" customWidth="1"/>
    <col min="20" max="20" width="1.44140625" style="715" customWidth="1"/>
    <col min="21" max="21" width="9.88671875" style="715" customWidth="1"/>
    <col min="22" max="22" width="1.44140625" style="687" customWidth="1"/>
    <col min="23" max="23" width="7.44140625" style="687" customWidth="1"/>
    <col min="24" max="16384" width="7.109375" style="687"/>
  </cols>
  <sheetData>
    <row r="1" spans="1:23" ht="15">
      <c r="A1" s="940" t="s">
        <v>851</v>
      </c>
      <c r="B1" s="940"/>
      <c r="C1" s="940"/>
      <c r="D1" s="940"/>
      <c r="E1" s="940"/>
      <c r="F1" s="940"/>
      <c r="G1" s="940"/>
      <c r="H1" s="940"/>
      <c r="I1" s="940"/>
      <c r="J1" s="940"/>
      <c r="K1" s="940"/>
      <c r="L1" s="940" t="s">
        <v>851</v>
      </c>
      <c r="M1" s="940"/>
      <c r="N1" s="940"/>
      <c r="O1" s="940"/>
      <c r="P1" s="940"/>
      <c r="Q1" s="940"/>
      <c r="R1" s="940"/>
      <c r="S1" s="940"/>
      <c r="T1" s="940"/>
      <c r="U1" s="940"/>
      <c r="V1" s="940"/>
      <c r="W1" s="940"/>
    </row>
    <row r="2" spans="1:23" ht="15.75">
      <c r="A2" s="949"/>
      <c r="B2" s="949"/>
      <c r="C2" s="949"/>
      <c r="D2" s="949"/>
      <c r="E2" s="949"/>
      <c r="F2" s="949"/>
      <c r="G2" s="949"/>
      <c r="H2" s="949"/>
      <c r="I2" s="949"/>
      <c r="J2" s="949"/>
      <c r="K2" s="949"/>
      <c r="L2" s="949"/>
      <c r="M2" s="949"/>
      <c r="N2" s="949"/>
      <c r="O2" s="949"/>
      <c r="P2" s="949"/>
      <c r="Q2" s="949"/>
      <c r="R2" s="949"/>
      <c r="S2" s="949"/>
      <c r="T2" s="949"/>
      <c r="U2" s="949"/>
      <c r="V2" s="949"/>
      <c r="W2" s="949"/>
    </row>
    <row r="3" spans="1:23" ht="15.75">
      <c r="A3" s="688"/>
      <c r="B3" s="689"/>
      <c r="C3" s="860" t="s">
        <v>852</v>
      </c>
      <c r="D3" s="860"/>
      <c r="E3" s="860"/>
      <c r="F3" s="860"/>
      <c r="G3" s="860"/>
      <c r="H3" s="689"/>
      <c r="I3" s="689"/>
      <c r="J3" s="689"/>
      <c r="K3" s="689"/>
      <c r="L3" s="689"/>
      <c r="M3" s="689"/>
      <c r="N3" s="860" t="s">
        <v>521</v>
      </c>
      <c r="O3" s="860"/>
      <c r="P3" s="860"/>
      <c r="Q3" s="860"/>
      <c r="R3" s="860"/>
      <c r="S3" s="860"/>
      <c r="T3" s="860"/>
      <c r="U3" s="860"/>
      <c r="V3" s="689"/>
      <c r="W3" s="689"/>
    </row>
    <row r="5" spans="1:23" s="690" customFormat="1">
      <c r="B5" s="691" t="s">
        <v>173</v>
      </c>
      <c r="C5" s="692" t="s">
        <v>367</v>
      </c>
      <c r="D5" s="693" t="s">
        <v>853</v>
      </c>
      <c r="E5" s="693" t="s">
        <v>710</v>
      </c>
      <c r="F5" s="693" t="s">
        <v>854</v>
      </c>
      <c r="G5" s="693" t="s">
        <v>712</v>
      </c>
      <c r="H5" s="693" t="s">
        <v>713</v>
      </c>
      <c r="I5" s="693" t="s">
        <v>779</v>
      </c>
      <c r="J5" s="693" t="s">
        <v>780</v>
      </c>
      <c r="K5" s="693" t="s">
        <v>781</v>
      </c>
      <c r="L5" s="693" t="s">
        <v>782</v>
      </c>
      <c r="M5" s="693" t="s">
        <v>832</v>
      </c>
      <c r="N5" s="693" t="s">
        <v>833</v>
      </c>
      <c r="O5" s="693" t="s">
        <v>855</v>
      </c>
      <c r="P5" s="693" t="s">
        <v>856</v>
      </c>
      <c r="Q5" s="692" t="s">
        <v>857</v>
      </c>
      <c r="S5" s="690" t="s">
        <v>858</v>
      </c>
      <c r="U5" s="690" t="s">
        <v>859</v>
      </c>
      <c r="W5" s="690" t="s">
        <v>860</v>
      </c>
    </row>
    <row r="6" spans="1:23" s="696" customFormat="1" ht="36.75" customHeight="1">
      <c r="A6" s="950" t="s">
        <v>43</v>
      </c>
      <c r="B6" s="950" t="s">
        <v>861</v>
      </c>
      <c r="C6" s="951" t="s">
        <v>862</v>
      </c>
      <c r="D6" s="694" t="s">
        <v>863</v>
      </c>
      <c r="E6" s="695" t="s">
        <v>864</v>
      </c>
      <c r="F6" s="695" t="s">
        <v>865</v>
      </c>
      <c r="G6" s="695" t="s">
        <v>866</v>
      </c>
      <c r="H6" s="695" t="s">
        <v>867</v>
      </c>
      <c r="I6" s="695" t="s">
        <v>868</v>
      </c>
      <c r="J6" s="695" t="s">
        <v>869</v>
      </c>
      <c r="K6" s="695" t="s">
        <v>870</v>
      </c>
      <c r="L6" s="695" t="s">
        <v>871</v>
      </c>
      <c r="M6" s="695" t="s">
        <v>872</v>
      </c>
      <c r="N6" s="695" t="s">
        <v>873</v>
      </c>
      <c r="O6" s="695" t="s">
        <v>874</v>
      </c>
      <c r="P6" s="695" t="s">
        <v>863</v>
      </c>
      <c r="Q6" s="950" t="s">
        <v>875</v>
      </c>
      <c r="R6" s="950" t="s">
        <v>876</v>
      </c>
      <c r="S6" s="950" t="s">
        <v>877</v>
      </c>
      <c r="T6" s="950" t="s">
        <v>876</v>
      </c>
      <c r="U6" s="950" t="s">
        <v>878</v>
      </c>
      <c r="V6" s="950" t="s">
        <v>163</v>
      </c>
      <c r="W6" s="950" t="s">
        <v>879</v>
      </c>
    </row>
    <row r="7" spans="1:23" s="696" customFormat="1" ht="28.5" customHeight="1">
      <c r="A7" s="950"/>
      <c r="B7" s="950"/>
      <c r="C7" s="952"/>
      <c r="D7" s="697">
        <f>E7-1</f>
        <v>2024</v>
      </c>
      <c r="E7" s="698">
        <v>2025</v>
      </c>
      <c r="F7" s="698">
        <v>2025</v>
      </c>
      <c r="G7" s="698">
        <v>2025</v>
      </c>
      <c r="H7" s="698">
        <v>2025</v>
      </c>
      <c r="I7" s="698">
        <v>2025</v>
      </c>
      <c r="J7" s="698">
        <v>2025</v>
      </c>
      <c r="K7" s="698">
        <v>2025</v>
      </c>
      <c r="L7" s="698">
        <v>2025</v>
      </c>
      <c r="M7" s="698">
        <v>2025</v>
      </c>
      <c r="N7" s="698">
        <v>2025</v>
      </c>
      <c r="O7" s="698">
        <v>2025</v>
      </c>
      <c r="P7" s="698">
        <v>2025</v>
      </c>
      <c r="Q7" s="950"/>
      <c r="R7" s="950"/>
      <c r="S7" s="950"/>
      <c r="T7" s="950"/>
      <c r="U7" s="950"/>
      <c r="V7" s="950"/>
      <c r="W7" s="950"/>
    </row>
    <row r="8" spans="1:23" ht="18" customHeight="1">
      <c r="A8" s="687" t="s">
        <v>254</v>
      </c>
      <c r="B8" s="699"/>
      <c r="C8" s="700"/>
      <c r="D8" s="700"/>
      <c r="E8" s="700"/>
      <c r="F8" s="700"/>
      <c r="G8" s="700"/>
      <c r="H8" s="700"/>
      <c r="I8" s="700"/>
      <c r="J8" s="700"/>
      <c r="K8" s="700"/>
      <c r="L8" s="700"/>
      <c r="M8" s="700"/>
      <c r="N8" s="700"/>
      <c r="O8" s="700"/>
      <c r="P8" s="700"/>
      <c r="Q8" s="701">
        <f t="shared" ref="Q8:Q32" si="0">IFERROR(SUM(D8:P8)/13,0)</f>
        <v>0</v>
      </c>
      <c r="R8" s="702"/>
      <c r="S8" s="703"/>
      <c r="T8" s="702"/>
      <c r="U8" s="703"/>
      <c r="V8" s="704"/>
      <c r="W8" s="705">
        <f t="shared" ref="W8:W32" si="1">Q8*S8*U8</f>
        <v>0</v>
      </c>
    </row>
    <row r="9" spans="1:23" ht="15" customHeight="1">
      <c r="A9" s="687" t="s">
        <v>880</v>
      </c>
      <c r="B9" s="706"/>
      <c r="C9" s="707"/>
      <c r="D9" s="707"/>
      <c r="E9" s="707"/>
      <c r="F9" s="707"/>
      <c r="G9" s="707"/>
      <c r="H9" s="707"/>
      <c r="I9" s="707"/>
      <c r="J9" s="707"/>
      <c r="K9" s="707"/>
      <c r="L9" s="707"/>
      <c r="M9" s="707"/>
      <c r="N9" s="707"/>
      <c r="O9" s="707"/>
      <c r="P9" s="707"/>
      <c r="Q9" s="701">
        <f t="shared" si="0"/>
        <v>0</v>
      </c>
      <c r="R9" s="701"/>
      <c r="S9" s="708"/>
      <c r="T9" s="701"/>
      <c r="U9" s="708"/>
      <c r="V9" s="709"/>
      <c r="W9" s="705">
        <f t="shared" si="1"/>
        <v>0</v>
      </c>
    </row>
    <row r="10" spans="1:23">
      <c r="A10" s="687" t="s">
        <v>881</v>
      </c>
      <c r="B10" s="706"/>
      <c r="C10" s="707"/>
      <c r="D10" s="707"/>
      <c r="E10" s="707"/>
      <c r="F10" s="707"/>
      <c r="G10" s="707"/>
      <c r="H10" s="707"/>
      <c r="I10" s="707"/>
      <c r="J10" s="707"/>
      <c r="K10" s="707"/>
      <c r="L10" s="707"/>
      <c r="M10" s="707"/>
      <c r="N10" s="707"/>
      <c r="O10" s="707"/>
      <c r="P10" s="707"/>
      <c r="Q10" s="701">
        <f t="shared" si="0"/>
        <v>0</v>
      </c>
      <c r="R10" s="701"/>
      <c r="S10" s="708"/>
      <c r="T10" s="701"/>
      <c r="U10" s="708"/>
      <c r="V10" s="709"/>
      <c r="W10" s="705">
        <f t="shared" si="1"/>
        <v>0</v>
      </c>
    </row>
    <row r="11" spans="1:23">
      <c r="A11" s="687" t="s">
        <v>256</v>
      </c>
      <c r="B11" s="706"/>
      <c r="C11" s="707"/>
      <c r="D11" s="707"/>
      <c r="E11" s="707"/>
      <c r="F11" s="707"/>
      <c r="G11" s="707"/>
      <c r="H11" s="707"/>
      <c r="I11" s="707"/>
      <c r="J11" s="707"/>
      <c r="K11" s="707"/>
      <c r="L11" s="707"/>
      <c r="M11" s="707"/>
      <c r="N11" s="707"/>
      <c r="O11" s="707"/>
      <c r="P11" s="707"/>
      <c r="Q11" s="701">
        <f t="shared" si="0"/>
        <v>0</v>
      </c>
      <c r="R11" s="701"/>
      <c r="S11" s="708"/>
      <c r="T11" s="701"/>
      <c r="U11" s="708"/>
      <c r="V11" s="709"/>
      <c r="W11" s="705">
        <f t="shared" si="1"/>
        <v>0</v>
      </c>
    </row>
    <row r="12" spans="1:23">
      <c r="A12" s="687" t="s">
        <v>256</v>
      </c>
      <c r="B12" s="706"/>
      <c r="C12" s="707"/>
      <c r="D12" s="707"/>
      <c r="E12" s="707"/>
      <c r="F12" s="707"/>
      <c r="G12" s="707"/>
      <c r="H12" s="707"/>
      <c r="I12" s="707"/>
      <c r="J12" s="707"/>
      <c r="K12" s="707"/>
      <c r="L12" s="707"/>
      <c r="M12" s="707"/>
      <c r="N12" s="707"/>
      <c r="O12" s="707"/>
      <c r="P12" s="707"/>
      <c r="Q12" s="701">
        <f t="shared" si="0"/>
        <v>0</v>
      </c>
      <c r="R12" s="701"/>
      <c r="S12" s="708"/>
      <c r="T12" s="701"/>
      <c r="U12" s="708"/>
      <c r="V12" s="709"/>
      <c r="W12" s="705">
        <f t="shared" si="1"/>
        <v>0</v>
      </c>
    </row>
    <row r="13" spans="1:23">
      <c r="A13" s="687" t="s">
        <v>256</v>
      </c>
      <c r="B13" s="706"/>
      <c r="C13" s="707"/>
      <c r="D13" s="707"/>
      <c r="E13" s="707"/>
      <c r="F13" s="707"/>
      <c r="G13" s="707"/>
      <c r="H13" s="707"/>
      <c r="I13" s="707"/>
      <c r="J13" s="707"/>
      <c r="K13" s="707"/>
      <c r="L13" s="707"/>
      <c r="M13" s="707"/>
      <c r="N13" s="707"/>
      <c r="O13" s="707"/>
      <c r="P13" s="707"/>
      <c r="Q13" s="701">
        <f t="shared" si="0"/>
        <v>0</v>
      </c>
      <c r="R13" s="701"/>
      <c r="S13" s="708"/>
      <c r="T13" s="701"/>
      <c r="U13" s="708"/>
      <c r="V13" s="709"/>
      <c r="W13" s="705">
        <f t="shared" si="1"/>
        <v>0</v>
      </c>
    </row>
    <row r="14" spans="1:23">
      <c r="A14" s="687" t="s">
        <v>256</v>
      </c>
      <c r="B14" s="706"/>
      <c r="C14" s="707"/>
      <c r="D14" s="707"/>
      <c r="E14" s="707"/>
      <c r="F14" s="707"/>
      <c r="G14" s="707"/>
      <c r="H14" s="707"/>
      <c r="I14" s="707"/>
      <c r="J14" s="707"/>
      <c r="K14" s="707"/>
      <c r="L14" s="707"/>
      <c r="M14" s="707"/>
      <c r="N14" s="707"/>
      <c r="O14" s="707"/>
      <c r="P14" s="707"/>
      <c r="Q14" s="701">
        <f t="shared" si="0"/>
        <v>0</v>
      </c>
      <c r="R14" s="701"/>
      <c r="S14" s="708"/>
      <c r="T14" s="701"/>
      <c r="U14" s="708"/>
      <c r="V14" s="709"/>
      <c r="W14" s="705">
        <f t="shared" si="1"/>
        <v>0</v>
      </c>
    </row>
    <row r="15" spans="1:23">
      <c r="A15" s="687" t="s">
        <v>256</v>
      </c>
      <c r="B15" s="706"/>
      <c r="C15" s="707"/>
      <c r="D15" s="707"/>
      <c r="E15" s="707"/>
      <c r="F15" s="707"/>
      <c r="G15" s="707"/>
      <c r="H15" s="707"/>
      <c r="I15" s="707"/>
      <c r="J15" s="707"/>
      <c r="K15" s="707"/>
      <c r="L15" s="707"/>
      <c r="M15" s="707"/>
      <c r="N15" s="707"/>
      <c r="O15" s="707"/>
      <c r="P15" s="707"/>
      <c r="Q15" s="701">
        <f t="shared" si="0"/>
        <v>0</v>
      </c>
      <c r="R15" s="701"/>
      <c r="S15" s="708"/>
      <c r="T15" s="701"/>
      <c r="U15" s="708"/>
      <c r="V15" s="709"/>
      <c r="W15" s="705">
        <f t="shared" si="1"/>
        <v>0</v>
      </c>
    </row>
    <row r="16" spans="1:23">
      <c r="A16" s="687" t="s">
        <v>256</v>
      </c>
      <c r="B16" s="706"/>
      <c r="C16" s="707"/>
      <c r="D16" s="707"/>
      <c r="E16" s="707"/>
      <c r="F16" s="707"/>
      <c r="G16" s="707"/>
      <c r="H16" s="707"/>
      <c r="I16" s="707"/>
      <c r="J16" s="707"/>
      <c r="K16" s="707"/>
      <c r="L16" s="707"/>
      <c r="M16" s="707"/>
      <c r="N16" s="707"/>
      <c r="O16" s="707"/>
      <c r="P16" s="707"/>
      <c r="Q16" s="701">
        <f t="shared" si="0"/>
        <v>0</v>
      </c>
      <c r="R16" s="701"/>
      <c r="S16" s="708"/>
      <c r="T16" s="701"/>
      <c r="U16" s="708"/>
      <c r="V16" s="709"/>
      <c r="W16" s="705">
        <f t="shared" si="1"/>
        <v>0</v>
      </c>
    </row>
    <row r="17" spans="1:23">
      <c r="A17" s="687" t="s">
        <v>256</v>
      </c>
      <c r="B17" s="706"/>
      <c r="C17" s="707"/>
      <c r="D17" s="707"/>
      <c r="E17" s="707"/>
      <c r="F17" s="707"/>
      <c r="G17" s="707"/>
      <c r="H17" s="707"/>
      <c r="I17" s="707"/>
      <c r="J17" s="707"/>
      <c r="K17" s="707"/>
      <c r="L17" s="707"/>
      <c r="M17" s="707"/>
      <c r="N17" s="707"/>
      <c r="O17" s="707"/>
      <c r="P17" s="707"/>
      <c r="Q17" s="701">
        <f t="shared" si="0"/>
        <v>0</v>
      </c>
      <c r="R17" s="701"/>
      <c r="S17" s="708"/>
      <c r="T17" s="701"/>
      <c r="U17" s="708"/>
      <c r="V17" s="709"/>
      <c r="W17" s="705">
        <f t="shared" si="1"/>
        <v>0</v>
      </c>
    </row>
    <row r="18" spans="1:23">
      <c r="A18" s="687" t="s">
        <v>256</v>
      </c>
      <c r="B18" s="706"/>
      <c r="C18" s="707"/>
      <c r="D18" s="707"/>
      <c r="E18" s="707"/>
      <c r="F18" s="707"/>
      <c r="G18" s="707"/>
      <c r="H18" s="707"/>
      <c r="I18" s="707"/>
      <c r="J18" s="707"/>
      <c r="K18" s="707"/>
      <c r="L18" s="707"/>
      <c r="M18" s="707"/>
      <c r="N18" s="707"/>
      <c r="O18" s="707"/>
      <c r="P18" s="707"/>
      <c r="Q18" s="701">
        <f t="shared" si="0"/>
        <v>0</v>
      </c>
      <c r="R18" s="701"/>
      <c r="S18" s="708"/>
      <c r="T18" s="701"/>
      <c r="U18" s="708"/>
      <c r="V18" s="709"/>
      <c r="W18" s="705">
        <f t="shared" si="1"/>
        <v>0</v>
      </c>
    </row>
    <row r="19" spans="1:23">
      <c r="A19" s="687" t="s">
        <v>256</v>
      </c>
      <c r="B19" s="706"/>
      <c r="C19" s="707"/>
      <c r="D19" s="707"/>
      <c r="E19" s="707"/>
      <c r="F19" s="707"/>
      <c r="G19" s="707"/>
      <c r="H19" s="707"/>
      <c r="I19" s="707"/>
      <c r="J19" s="707"/>
      <c r="K19" s="707"/>
      <c r="L19" s="707"/>
      <c r="M19" s="707"/>
      <c r="N19" s="707"/>
      <c r="O19" s="707"/>
      <c r="P19" s="707"/>
      <c r="Q19" s="701">
        <f t="shared" si="0"/>
        <v>0</v>
      </c>
      <c r="R19" s="701"/>
      <c r="S19" s="708"/>
      <c r="T19" s="701"/>
      <c r="U19" s="708"/>
      <c r="V19" s="709"/>
      <c r="W19" s="705">
        <f t="shared" si="1"/>
        <v>0</v>
      </c>
    </row>
    <row r="20" spans="1:23">
      <c r="A20" s="687" t="s">
        <v>256</v>
      </c>
      <c r="B20" s="706"/>
      <c r="C20" s="707"/>
      <c r="D20" s="707"/>
      <c r="E20" s="707"/>
      <c r="F20" s="707"/>
      <c r="G20" s="707"/>
      <c r="H20" s="707"/>
      <c r="I20" s="707"/>
      <c r="J20" s="707"/>
      <c r="K20" s="707"/>
      <c r="L20" s="707"/>
      <c r="M20" s="707"/>
      <c r="N20" s="707"/>
      <c r="O20" s="707"/>
      <c r="P20" s="707"/>
      <c r="Q20" s="701">
        <f t="shared" si="0"/>
        <v>0</v>
      </c>
      <c r="R20" s="701"/>
      <c r="S20" s="708"/>
      <c r="T20" s="701"/>
      <c r="U20" s="708"/>
      <c r="V20" s="709"/>
      <c r="W20" s="705">
        <f t="shared" si="1"/>
        <v>0</v>
      </c>
    </row>
    <row r="21" spans="1:23">
      <c r="A21" s="687" t="s">
        <v>256</v>
      </c>
      <c r="B21" s="706"/>
      <c r="C21" s="707"/>
      <c r="D21" s="707"/>
      <c r="E21" s="707"/>
      <c r="F21" s="707"/>
      <c r="G21" s="707"/>
      <c r="H21" s="707"/>
      <c r="I21" s="707"/>
      <c r="J21" s="707"/>
      <c r="K21" s="707"/>
      <c r="L21" s="707"/>
      <c r="M21" s="707"/>
      <c r="N21" s="707"/>
      <c r="O21" s="707"/>
      <c r="P21" s="707"/>
      <c r="Q21" s="701">
        <f t="shared" si="0"/>
        <v>0</v>
      </c>
      <c r="R21" s="701"/>
      <c r="S21" s="708"/>
      <c r="T21" s="701"/>
      <c r="U21" s="708"/>
      <c r="V21" s="709"/>
      <c r="W21" s="705">
        <f t="shared" si="1"/>
        <v>0</v>
      </c>
    </row>
    <row r="22" spans="1:23">
      <c r="A22" s="687" t="s">
        <v>256</v>
      </c>
      <c r="B22" s="706"/>
      <c r="C22" s="707"/>
      <c r="D22" s="707"/>
      <c r="E22" s="707"/>
      <c r="F22" s="707"/>
      <c r="G22" s="707"/>
      <c r="H22" s="707"/>
      <c r="I22" s="707"/>
      <c r="J22" s="707"/>
      <c r="K22" s="707"/>
      <c r="L22" s="707"/>
      <c r="M22" s="707"/>
      <c r="N22" s="707"/>
      <c r="O22" s="707"/>
      <c r="P22" s="707"/>
      <c r="Q22" s="701">
        <f t="shared" si="0"/>
        <v>0</v>
      </c>
      <c r="R22" s="701"/>
      <c r="S22" s="708"/>
      <c r="T22" s="701"/>
      <c r="U22" s="708"/>
      <c r="V22" s="709"/>
      <c r="W22" s="705">
        <f t="shared" si="1"/>
        <v>0</v>
      </c>
    </row>
    <row r="23" spans="1:23">
      <c r="A23" s="687" t="s">
        <v>256</v>
      </c>
      <c r="B23" s="706"/>
      <c r="C23" s="707"/>
      <c r="D23" s="707"/>
      <c r="E23" s="707"/>
      <c r="F23" s="707"/>
      <c r="G23" s="707"/>
      <c r="H23" s="707"/>
      <c r="I23" s="707"/>
      <c r="J23" s="707"/>
      <c r="K23" s="707"/>
      <c r="L23" s="707"/>
      <c r="M23" s="707"/>
      <c r="N23" s="707"/>
      <c r="O23" s="707"/>
      <c r="P23" s="707"/>
      <c r="Q23" s="701">
        <f t="shared" si="0"/>
        <v>0</v>
      </c>
      <c r="R23" s="701"/>
      <c r="S23" s="708"/>
      <c r="T23" s="701"/>
      <c r="U23" s="708"/>
      <c r="V23" s="709"/>
      <c r="W23" s="705">
        <f t="shared" si="1"/>
        <v>0</v>
      </c>
    </row>
    <row r="24" spans="1:23">
      <c r="A24" s="687" t="s">
        <v>256</v>
      </c>
      <c r="B24" s="706"/>
      <c r="C24" s="707"/>
      <c r="D24" s="707"/>
      <c r="E24" s="707"/>
      <c r="F24" s="707"/>
      <c r="G24" s="707"/>
      <c r="H24" s="707"/>
      <c r="I24" s="707"/>
      <c r="J24" s="707"/>
      <c r="K24" s="707"/>
      <c r="L24" s="707"/>
      <c r="M24" s="707"/>
      <c r="N24" s="707"/>
      <c r="O24" s="707"/>
      <c r="P24" s="707"/>
      <c r="Q24" s="701">
        <f t="shared" si="0"/>
        <v>0</v>
      </c>
      <c r="R24" s="701"/>
      <c r="S24" s="708"/>
      <c r="T24" s="701"/>
      <c r="U24" s="708"/>
      <c r="V24" s="709"/>
      <c r="W24" s="705">
        <f t="shared" si="1"/>
        <v>0</v>
      </c>
    </row>
    <row r="25" spans="1:23">
      <c r="A25" s="687" t="s">
        <v>256</v>
      </c>
      <c r="B25" s="706"/>
      <c r="C25" s="707"/>
      <c r="D25" s="707"/>
      <c r="E25" s="707"/>
      <c r="F25" s="707"/>
      <c r="G25" s="707"/>
      <c r="H25" s="707"/>
      <c r="I25" s="707"/>
      <c r="J25" s="707"/>
      <c r="K25" s="707"/>
      <c r="L25" s="707"/>
      <c r="M25" s="707"/>
      <c r="N25" s="707"/>
      <c r="O25" s="707"/>
      <c r="P25" s="707"/>
      <c r="Q25" s="701">
        <f t="shared" si="0"/>
        <v>0</v>
      </c>
      <c r="R25" s="701"/>
      <c r="S25" s="708"/>
      <c r="T25" s="701"/>
      <c r="U25" s="708"/>
      <c r="V25" s="709"/>
      <c r="W25" s="705">
        <f t="shared" si="1"/>
        <v>0</v>
      </c>
    </row>
    <row r="26" spans="1:23">
      <c r="A26" s="687" t="s">
        <v>256</v>
      </c>
      <c r="B26" s="706"/>
      <c r="C26" s="707"/>
      <c r="D26" s="707"/>
      <c r="E26" s="707"/>
      <c r="F26" s="707"/>
      <c r="G26" s="707"/>
      <c r="H26" s="707"/>
      <c r="I26" s="707"/>
      <c r="J26" s="707"/>
      <c r="K26" s="707"/>
      <c r="L26" s="707"/>
      <c r="M26" s="707"/>
      <c r="N26" s="707"/>
      <c r="O26" s="707"/>
      <c r="P26" s="707"/>
      <c r="Q26" s="701">
        <f t="shared" si="0"/>
        <v>0</v>
      </c>
      <c r="R26" s="701"/>
      <c r="S26" s="708"/>
      <c r="T26" s="701"/>
      <c r="U26" s="708"/>
      <c r="V26" s="709"/>
      <c r="W26" s="705">
        <f t="shared" si="1"/>
        <v>0</v>
      </c>
    </row>
    <row r="27" spans="1:23">
      <c r="A27" s="687" t="s">
        <v>256</v>
      </c>
      <c r="B27" s="706"/>
      <c r="C27" s="707"/>
      <c r="D27" s="707"/>
      <c r="E27" s="707"/>
      <c r="F27" s="707"/>
      <c r="G27" s="707"/>
      <c r="H27" s="707"/>
      <c r="I27" s="707"/>
      <c r="J27" s="707"/>
      <c r="K27" s="707"/>
      <c r="L27" s="707"/>
      <c r="M27" s="707"/>
      <c r="N27" s="707"/>
      <c r="O27" s="707"/>
      <c r="P27" s="707"/>
      <c r="Q27" s="701">
        <f t="shared" si="0"/>
        <v>0</v>
      </c>
      <c r="R27" s="701"/>
      <c r="S27" s="708"/>
      <c r="T27" s="701"/>
      <c r="U27" s="708"/>
      <c r="V27" s="709"/>
      <c r="W27" s="705">
        <f t="shared" si="1"/>
        <v>0</v>
      </c>
    </row>
    <row r="28" spans="1:23">
      <c r="A28" s="687" t="s">
        <v>256</v>
      </c>
      <c r="B28" s="706"/>
      <c r="C28" s="707"/>
      <c r="D28" s="707"/>
      <c r="E28" s="707"/>
      <c r="F28" s="707"/>
      <c r="G28" s="707"/>
      <c r="H28" s="707"/>
      <c r="I28" s="707"/>
      <c r="J28" s="707"/>
      <c r="K28" s="707"/>
      <c r="L28" s="707"/>
      <c r="M28" s="707"/>
      <c r="N28" s="707"/>
      <c r="O28" s="707"/>
      <c r="P28" s="707"/>
      <c r="Q28" s="701">
        <f t="shared" si="0"/>
        <v>0</v>
      </c>
      <c r="R28" s="701"/>
      <c r="S28" s="708"/>
      <c r="T28" s="701"/>
      <c r="U28" s="708"/>
      <c r="V28" s="709"/>
      <c r="W28" s="705">
        <f t="shared" si="1"/>
        <v>0</v>
      </c>
    </row>
    <row r="29" spans="1:23">
      <c r="A29" s="687" t="s">
        <v>256</v>
      </c>
      <c r="B29" s="706"/>
      <c r="C29" s="707"/>
      <c r="D29" s="707"/>
      <c r="E29" s="707"/>
      <c r="F29" s="707"/>
      <c r="G29" s="707"/>
      <c r="H29" s="707"/>
      <c r="I29" s="707"/>
      <c r="J29" s="707"/>
      <c r="K29" s="707"/>
      <c r="L29" s="707"/>
      <c r="M29" s="707"/>
      <c r="N29" s="707"/>
      <c r="O29" s="707"/>
      <c r="P29" s="707"/>
      <c r="Q29" s="701">
        <f t="shared" si="0"/>
        <v>0</v>
      </c>
      <c r="R29" s="701"/>
      <c r="S29" s="708"/>
      <c r="T29" s="701"/>
      <c r="U29" s="708"/>
      <c r="V29" s="709"/>
      <c r="W29" s="705">
        <f t="shared" si="1"/>
        <v>0</v>
      </c>
    </row>
    <row r="30" spans="1:23">
      <c r="A30" s="687" t="s">
        <v>256</v>
      </c>
      <c r="B30" s="706"/>
      <c r="C30" s="707"/>
      <c r="D30" s="707"/>
      <c r="E30" s="707"/>
      <c r="F30" s="707"/>
      <c r="G30" s="707"/>
      <c r="H30" s="707"/>
      <c r="I30" s="707"/>
      <c r="J30" s="707"/>
      <c r="K30" s="707"/>
      <c r="L30" s="707"/>
      <c r="M30" s="707"/>
      <c r="N30" s="707"/>
      <c r="O30" s="707"/>
      <c r="P30" s="707"/>
      <c r="Q30" s="701">
        <f t="shared" si="0"/>
        <v>0</v>
      </c>
      <c r="R30" s="701"/>
      <c r="S30" s="708"/>
      <c r="T30" s="701"/>
      <c r="U30" s="708"/>
      <c r="V30" s="709"/>
      <c r="W30" s="705">
        <f t="shared" si="1"/>
        <v>0</v>
      </c>
    </row>
    <row r="31" spans="1:23">
      <c r="A31" s="687" t="s">
        <v>256</v>
      </c>
      <c r="B31" s="706"/>
      <c r="C31" s="707"/>
      <c r="D31" s="707"/>
      <c r="E31" s="707"/>
      <c r="F31" s="707"/>
      <c r="G31" s="707"/>
      <c r="H31" s="707"/>
      <c r="I31" s="707"/>
      <c r="J31" s="707"/>
      <c r="K31" s="707"/>
      <c r="L31" s="707"/>
      <c r="M31" s="707"/>
      <c r="N31" s="707"/>
      <c r="O31" s="707"/>
      <c r="P31" s="707"/>
      <c r="Q31" s="701">
        <f t="shared" si="0"/>
        <v>0</v>
      </c>
      <c r="R31" s="701"/>
      <c r="S31" s="708"/>
      <c r="T31" s="701"/>
      <c r="U31" s="708"/>
      <c r="V31" s="709"/>
      <c r="W31" s="705">
        <f t="shared" si="1"/>
        <v>0</v>
      </c>
    </row>
    <row r="32" spans="1:23">
      <c r="A32" s="687" t="s">
        <v>258</v>
      </c>
      <c r="B32" s="706"/>
      <c r="C32" s="707"/>
      <c r="D32" s="707"/>
      <c r="E32" s="707"/>
      <c r="F32" s="707"/>
      <c r="G32" s="707"/>
      <c r="H32" s="707"/>
      <c r="I32" s="707"/>
      <c r="J32" s="707"/>
      <c r="K32" s="707"/>
      <c r="L32" s="707"/>
      <c r="M32" s="707"/>
      <c r="N32" s="707"/>
      <c r="O32" s="707"/>
      <c r="P32" s="707"/>
      <c r="Q32" s="701">
        <f t="shared" si="0"/>
        <v>0</v>
      </c>
      <c r="R32" s="701"/>
      <c r="S32" s="708"/>
      <c r="T32" s="701"/>
      <c r="U32" s="708"/>
      <c r="V32" s="709"/>
      <c r="W32" s="705">
        <f t="shared" si="1"/>
        <v>0</v>
      </c>
    </row>
    <row r="33" spans="1:26" ht="15" customHeight="1">
      <c r="A33" s="687">
        <v>2</v>
      </c>
      <c r="E33" s="711"/>
      <c r="F33" s="711"/>
      <c r="G33" s="711"/>
      <c r="H33" s="711"/>
      <c r="I33" s="711"/>
      <c r="J33" s="711"/>
      <c r="K33" s="711"/>
      <c r="L33" s="711"/>
      <c r="M33" s="711"/>
      <c r="N33" s="955" t="s">
        <v>882</v>
      </c>
      <c r="O33" s="955"/>
      <c r="P33" s="955"/>
      <c r="Q33" s="712">
        <f>SUM(Q8:Q32)</f>
        <v>0</v>
      </c>
      <c r="R33" s="713"/>
      <c r="S33" s="955" t="s">
        <v>883</v>
      </c>
      <c r="T33" s="955"/>
      <c r="U33" s="955"/>
      <c r="V33" s="955"/>
      <c r="W33" s="714">
        <f>SUM(W8:W32)</f>
        <v>0</v>
      </c>
    </row>
    <row r="34" spans="1:26">
      <c r="C34" s="710" t="s">
        <v>884</v>
      </c>
      <c r="E34" s="710"/>
      <c r="V34" s="715"/>
      <c r="W34" s="716"/>
    </row>
    <row r="35" spans="1:26" ht="12" customHeight="1">
      <c r="B35" s="717" t="s">
        <v>38</v>
      </c>
      <c r="C35" s="953" t="s">
        <v>885</v>
      </c>
      <c r="D35" s="953"/>
      <c r="E35" s="953"/>
      <c r="F35" s="953"/>
      <c r="G35" s="953"/>
      <c r="H35" s="953"/>
      <c r="I35" s="953"/>
      <c r="J35" s="953"/>
      <c r="K35" s="718"/>
      <c r="L35" s="954"/>
      <c r="M35" s="954"/>
      <c r="N35" s="954"/>
      <c r="O35" s="954"/>
      <c r="P35" s="954"/>
      <c r="Q35" s="954"/>
      <c r="R35" s="954"/>
      <c r="S35" s="954"/>
      <c r="T35" s="954"/>
      <c r="U35" s="954"/>
      <c r="V35" s="954"/>
      <c r="W35" s="954"/>
      <c r="X35" s="719"/>
      <c r="Y35" s="719"/>
    </row>
    <row r="36" spans="1:26" ht="12" customHeight="1">
      <c r="B36" s="717"/>
      <c r="C36" s="953"/>
      <c r="D36" s="953"/>
      <c r="E36" s="953"/>
      <c r="F36" s="953"/>
      <c r="G36" s="953"/>
      <c r="H36" s="953"/>
      <c r="I36" s="953"/>
      <c r="J36" s="953"/>
      <c r="L36" s="954"/>
      <c r="M36" s="954"/>
      <c r="N36" s="954"/>
      <c r="O36" s="954"/>
      <c r="P36" s="954"/>
      <c r="Q36" s="954"/>
      <c r="R36" s="954"/>
      <c r="S36" s="954"/>
      <c r="T36" s="954"/>
      <c r="U36" s="954"/>
      <c r="V36" s="954"/>
      <c r="W36" s="954"/>
      <c r="X36" s="719"/>
      <c r="Y36" s="720"/>
    </row>
    <row r="37" spans="1:26">
      <c r="B37" s="717"/>
      <c r="C37" s="953"/>
      <c r="D37" s="953"/>
      <c r="E37" s="953"/>
      <c r="F37" s="953"/>
      <c r="G37" s="953"/>
      <c r="H37" s="953"/>
      <c r="I37" s="953"/>
      <c r="J37" s="953"/>
      <c r="K37" s="721"/>
      <c r="L37" s="954"/>
      <c r="M37" s="954"/>
      <c r="N37" s="954"/>
      <c r="O37" s="954"/>
      <c r="P37" s="954"/>
      <c r="Q37" s="954"/>
      <c r="R37" s="954"/>
      <c r="S37" s="954"/>
      <c r="T37" s="954"/>
      <c r="U37" s="954"/>
      <c r="V37" s="954"/>
      <c r="W37" s="954"/>
      <c r="X37" s="719"/>
      <c r="Y37" s="720"/>
      <c r="Z37" s="720"/>
    </row>
    <row r="38" spans="1:26" ht="11.25" customHeight="1">
      <c r="A38" s="717"/>
      <c r="C38" s="953"/>
      <c r="D38" s="953"/>
      <c r="E38" s="953"/>
      <c r="F38" s="953"/>
      <c r="G38" s="953"/>
      <c r="H38" s="953"/>
      <c r="I38" s="953"/>
      <c r="J38" s="953"/>
      <c r="K38" s="687"/>
      <c r="L38" s="687"/>
      <c r="M38" s="687"/>
      <c r="N38" s="687"/>
      <c r="O38" s="687"/>
      <c r="P38" s="687"/>
      <c r="Q38" s="687"/>
      <c r="R38" s="687"/>
      <c r="S38" s="687"/>
      <c r="T38" s="687"/>
      <c r="U38" s="687"/>
    </row>
    <row r="39" spans="1:26" ht="35.25" customHeight="1">
      <c r="A39" s="717"/>
      <c r="C39" s="953"/>
      <c r="D39" s="953"/>
      <c r="E39" s="953"/>
      <c r="F39" s="953"/>
      <c r="G39" s="953"/>
      <c r="H39" s="953"/>
      <c r="I39" s="953"/>
      <c r="J39" s="953"/>
      <c r="K39" s="687"/>
      <c r="L39" s="687"/>
      <c r="M39" s="687"/>
      <c r="N39" s="687"/>
      <c r="O39" s="687"/>
      <c r="P39" s="687"/>
      <c r="Q39" s="687"/>
      <c r="R39" s="687"/>
      <c r="S39" s="687"/>
      <c r="T39" s="687"/>
      <c r="U39" s="687"/>
    </row>
    <row r="40" spans="1:26" ht="11.25" customHeight="1">
      <c r="A40" s="710"/>
      <c r="J40" s="719"/>
      <c r="K40" s="687"/>
      <c r="L40" s="687"/>
      <c r="M40" s="687"/>
      <c r="N40" s="687"/>
      <c r="O40" s="687"/>
      <c r="P40" s="687"/>
      <c r="Q40" s="687"/>
      <c r="R40" s="687"/>
      <c r="S40" s="687"/>
      <c r="T40" s="687"/>
      <c r="U40" s="687"/>
    </row>
    <row r="41" spans="1:26" ht="15.75" customHeight="1">
      <c r="A41" s="710"/>
      <c r="C41" s="722"/>
      <c r="D41" s="722"/>
      <c r="E41" s="722"/>
      <c r="F41" s="722"/>
      <c r="G41" s="722"/>
      <c r="H41" s="722"/>
      <c r="I41" s="722"/>
      <c r="J41" s="722"/>
    </row>
    <row r="42" spans="1:26">
      <c r="A42" s="710"/>
      <c r="C42" s="722"/>
      <c r="D42" s="722"/>
      <c r="E42" s="722"/>
      <c r="F42" s="722"/>
      <c r="G42" s="722"/>
      <c r="H42" s="722"/>
      <c r="I42" s="722"/>
      <c r="J42" s="722"/>
    </row>
    <row r="43" spans="1:26">
      <c r="A43" s="710"/>
      <c r="C43" s="722"/>
      <c r="D43" s="722"/>
      <c r="E43" s="722"/>
      <c r="F43" s="722"/>
      <c r="G43" s="722"/>
      <c r="H43" s="722"/>
      <c r="I43" s="722"/>
      <c r="J43" s="722"/>
    </row>
    <row r="44" spans="1:26">
      <c r="A44" s="710"/>
      <c r="C44" s="722"/>
      <c r="D44" s="722"/>
      <c r="E44" s="722"/>
      <c r="F44" s="722"/>
      <c r="G44" s="722"/>
      <c r="H44" s="722"/>
      <c r="I44" s="722"/>
      <c r="J44" s="722"/>
    </row>
    <row r="45" spans="1:26">
      <c r="C45" s="722"/>
      <c r="D45" s="722"/>
      <c r="E45" s="722"/>
      <c r="F45" s="722"/>
      <c r="G45" s="722"/>
      <c r="H45" s="722"/>
      <c r="I45" s="722"/>
      <c r="J45" s="722"/>
    </row>
    <row r="46" spans="1:26">
      <c r="C46" s="722"/>
      <c r="D46" s="722"/>
      <c r="E46" s="722"/>
      <c r="F46" s="722"/>
      <c r="G46" s="722"/>
      <c r="H46" s="722"/>
      <c r="I46" s="722"/>
      <c r="J46" s="722"/>
    </row>
    <row r="47" spans="1:26">
      <c r="C47" s="722"/>
      <c r="D47" s="722"/>
      <c r="E47" s="722"/>
      <c r="F47" s="722"/>
      <c r="G47" s="722"/>
      <c r="H47" s="722"/>
      <c r="I47" s="722"/>
      <c r="J47" s="722"/>
    </row>
    <row r="48" spans="1:26">
      <c r="C48" s="722"/>
      <c r="D48" s="722"/>
      <c r="E48" s="722"/>
      <c r="F48" s="722"/>
      <c r="G48" s="722"/>
      <c r="H48" s="722"/>
      <c r="I48" s="722"/>
      <c r="J48" s="722"/>
    </row>
  </sheetData>
  <mergeCells count="20">
    <mergeCell ref="C35:J39"/>
    <mergeCell ref="L35:W37"/>
    <mergeCell ref="T6:T7"/>
    <mergeCell ref="U6:U7"/>
    <mergeCell ref="V6:V7"/>
    <mergeCell ref="W6:W7"/>
    <mergeCell ref="N33:P33"/>
    <mergeCell ref="S33:V33"/>
    <mergeCell ref="S6:S7"/>
    <mergeCell ref="A6:A7"/>
    <mergeCell ref="B6:B7"/>
    <mergeCell ref="C6:C7"/>
    <mergeCell ref="Q6:Q7"/>
    <mergeCell ref="R6:R7"/>
    <mergeCell ref="A1:K1"/>
    <mergeCell ref="L1:W1"/>
    <mergeCell ref="A2:K2"/>
    <mergeCell ref="L2:W2"/>
    <mergeCell ref="C3:G3"/>
    <mergeCell ref="N3:U3"/>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7D09-76C4-4DDB-BF07-99DFF35DD8FB}">
  <sheetPr>
    <pageSetUpPr fitToPage="1"/>
  </sheetPr>
  <dimension ref="A1:AE47"/>
  <sheetViews>
    <sheetView view="pageBreakPreview" topLeftCell="A3" zoomScaleNormal="100" zoomScaleSheetLayoutView="100" workbookViewId="0">
      <selection activeCell="J8" sqref="J8"/>
    </sheetView>
  </sheetViews>
  <sheetFormatPr defaultColWidth="7" defaultRowHeight="15.75"/>
  <cols>
    <col min="1" max="2" width="2.88671875" style="723" customWidth="1"/>
    <col min="3" max="3" width="48.5546875" style="723" customWidth="1"/>
    <col min="4" max="4" width="12.44140625" style="723" customWidth="1"/>
    <col min="5" max="5" width="10.6640625" style="723" customWidth="1"/>
    <col min="6" max="6" width="9.109375" style="723" customWidth="1"/>
    <col min="7" max="7" width="9.6640625" style="723" customWidth="1"/>
    <col min="8" max="17" width="10.5546875" style="723" customWidth="1"/>
    <col min="18" max="18" width="10.5546875" style="755" customWidth="1"/>
    <col min="19" max="19" width="10.5546875" style="759" customWidth="1"/>
    <col min="20" max="20" width="10.5546875" style="760" customWidth="1"/>
    <col min="21" max="21" width="14" style="754" customWidth="1"/>
    <col min="22" max="22" width="1.21875" style="761" customWidth="1"/>
    <col min="23" max="23" width="10.109375" style="723" customWidth="1"/>
    <col min="24" max="24" width="1.21875" style="761" customWidth="1"/>
    <col min="25" max="25" width="10.109375" style="723" bestFit="1" customWidth="1"/>
    <col min="26" max="26" width="8.109375" style="723" customWidth="1"/>
    <col min="27" max="27" width="1.21875" style="723" customWidth="1"/>
    <col min="28" max="28" width="8.109375" style="723" customWidth="1"/>
    <col min="29" max="29" width="1.21875" style="723" customWidth="1"/>
    <col min="30" max="30" width="6.88671875" style="723" customWidth="1"/>
    <col min="31" max="31" width="1.44140625" style="723" customWidth="1"/>
    <col min="32" max="32" width="7.109375" style="687" customWidth="1"/>
    <col min="33" max="16384" width="7" style="687"/>
  </cols>
  <sheetData>
    <row r="1" spans="1:31">
      <c r="A1" s="862" t="s">
        <v>886</v>
      </c>
      <c r="B1" s="862"/>
      <c r="C1" s="862"/>
      <c r="D1" s="862"/>
      <c r="E1" s="862"/>
      <c r="F1" s="862"/>
      <c r="G1" s="862"/>
      <c r="H1" s="862" t="s">
        <v>886</v>
      </c>
      <c r="I1" s="862"/>
      <c r="J1" s="862"/>
      <c r="K1" s="862"/>
      <c r="L1" s="862"/>
      <c r="M1" s="862"/>
      <c r="N1" s="862"/>
      <c r="O1" s="862"/>
      <c r="P1" s="862"/>
      <c r="Q1" s="862"/>
      <c r="R1" s="862"/>
      <c r="S1" s="862"/>
      <c r="T1" s="862"/>
      <c r="U1" s="862" t="s">
        <v>886</v>
      </c>
      <c r="V1" s="862"/>
      <c r="W1" s="862"/>
      <c r="X1" s="862"/>
      <c r="Y1" s="862"/>
      <c r="Z1" s="862"/>
      <c r="AA1" s="862"/>
      <c r="AB1" s="23"/>
      <c r="AC1" s="23"/>
      <c r="AD1" s="23"/>
    </row>
    <row r="2" spans="1:31">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19"/>
      <c r="AC2" s="19"/>
      <c r="AD2" s="19"/>
    </row>
    <row r="3" spans="1:31">
      <c r="A3" s="22"/>
      <c r="B3" s="22"/>
      <c r="C3" s="936" t="s">
        <v>887</v>
      </c>
      <c r="D3" s="940"/>
      <c r="E3" s="936"/>
      <c r="F3" s="940"/>
      <c r="G3" s="940"/>
      <c r="H3" s="22"/>
      <c r="I3" s="22"/>
      <c r="J3" s="22"/>
      <c r="K3" s="22"/>
      <c r="L3" s="936" t="s">
        <v>888</v>
      </c>
      <c r="M3" s="940"/>
      <c r="N3" s="940"/>
      <c r="O3" s="940"/>
      <c r="P3" s="940"/>
      <c r="Q3" s="22"/>
      <c r="R3" s="22"/>
      <c r="S3" s="22"/>
      <c r="T3" s="22"/>
      <c r="U3" s="936" t="s">
        <v>6</v>
      </c>
      <c r="V3" s="940"/>
      <c r="W3" s="940"/>
      <c r="X3" s="940"/>
      <c r="Y3" s="940"/>
      <c r="Z3" s="940"/>
      <c r="AA3" s="22"/>
      <c r="AB3" s="19"/>
      <c r="AC3" s="19"/>
      <c r="AD3" s="19"/>
    </row>
    <row r="5" spans="1:31" s="690" customFormat="1">
      <c r="A5" s="724"/>
      <c r="B5" s="724"/>
      <c r="C5" s="724" t="s">
        <v>173</v>
      </c>
      <c r="D5" s="724" t="s">
        <v>367</v>
      </c>
      <c r="E5" s="724" t="s">
        <v>853</v>
      </c>
      <c r="F5" s="724" t="s">
        <v>710</v>
      </c>
      <c r="G5" s="724" t="s">
        <v>854</v>
      </c>
      <c r="H5" s="724" t="s">
        <v>712</v>
      </c>
      <c r="I5" s="724" t="s">
        <v>713</v>
      </c>
      <c r="J5" s="724" t="s">
        <v>779</v>
      </c>
      <c r="K5" s="724" t="s">
        <v>780</v>
      </c>
      <c r="L5" s="724" t="s">
        <v>781</v>
      </c>
      <c r="M5" s="724" t="s">
        <v>782</v>
      </c>
      <c r="N5" s="724" t="s">
        <v>832</v>
      </c>
      <c r="O5" s="724" t="s">
        <v>833</v>
      </c>
      <c r="P5" s="725" t="s">
        <v>855</v>
      </c>
      <c r="Q5" s="724" t="s">
        <v>856</v>
      </c>
      <c r="R5" s="726" t="s">
        <v>857</v>
      </c>
      <c r="S5" s="724" t="s">
        <v>858</v>
      </c>
      <c r="T5" s="724" t="s">
        <v>859</v>
      </c>
      <c r="U5" s="724" t="s">
        <v>860</v>
      </c>
      <c r="V5" s="724"/>
      <c r="W5" s="724" t="s">
        <v>889</v>
      </c>
      <c r="X5" s="724"/>
      <c r="Y5" s="724" t="s">
        <v>890</v>
      </c>
      <c r="Z5" s="724"/>
      <c r="AA5" s="724"/>
      <c r="AB5" s="724"/>
      <c r="AC5" s="724"/>
      <c r="AD5" s="724"/>
      <c r="AE5" s="724"/>
    </row>
    <row r="6" spans="1:31" s="696" customFormat="1" ht="41.25" customHeight="1">
      <c r="A6" s="957" t="s">
        <v>43</v>
      </c>
      <c r="B6" s="727"/>
      <c r="C6" s="957" t="s">
        <v>891</v>
      </c>
      <c r="D6" s="957" t="s">
        <v>892</v>
      </c>
      <c r="E6" s="957" t="s">
        <v>893</v>
      </c>
      <c r="F6" s="957" t="s">
        <v>894</v>
      </c>
      <c r="G6" s="957" t="s">
        <v>895</v>
      </c>
      <c r="H6" s="728" t="s">
        <v>863</v>
      </c>
      <c r="I6" s="729" t="s">
        <v>864</v>
      </c>
      <c r="J6" s="729" t="s">
        <v>865</v>
      </c>
      <c r="K6" s="729" t="s">
        <v>866</v>
      </c>
      <c r="L6" s="729" t="s">
        <v>867</v>
      </c>
      <c r="M6" s="729" t="s">
        <v>868</v>
      </c>
      <c r="N6" s="729" t="s">
        <v>869</v>
      </c>
      <c r="O6" s="729" t="s">
        <v>870</v>
      </c>
      <c r="P6" s="729" t="s">
        <v>871</v>
      </c>
      <c r="Q6" s="729" t="s">
        <v>872</v>
      </c>
      <c r="R6" s="729" t="s">
        <v>873</v>
      </c>
      <c r="S6" s="729" t="s">
        <v>874</v>
      </c>
      <c r="T6" s="729" t="s">
        <v>863</v>
      </c>
      <c r="U6" s="957" t="s">
        <v>896</v>
      </c>
      <c r="V6" s="957" t="s">
        <v>876</v>
      </c>
      <c r="W6" s="957" t="s">
        <v>897</v>
      </c>
      <c r="X6" s="957" t="s">
        <v>163</v>
      </c>
      <c r="Y6" s="957" t="s">
        <v>898</v>
      </c>
      <c r="Z6" s="730"/>
      <c r="AA6" s="730"/>
      <c r="AB6" s="730"/>
      <c r="AC6" s="730"/>
      <c r="AD6" s="730"/>
      <c r="AE6" s="730"/>
    </row>
    <row r="7" spans="1:31" s="696" customFormat="1" ht="17.25" customHeight="1">
      <c r="A7" s="958"/>
      <c r="B7" s="731"/>
      <c r="C7" s="958"/>
      <c r="D7" s="958"/>
      <c r="E7" s="958" t="s">
        <v>893</v>
      </c>
      <c r="F7" s="958"/>
      <c r="G7" s="958"/>
      <c r="H7" s="732">
        <v>2024</v>
      </c>
      <c r="I7" s="732">
        <v>2025</v>
      </c>
      <c r="J7" s="732">
        <v>2025</v>
      </c>
      <c r="K7" s="732">
        <v>2025</v>
      </c>
      <c r="L7" s="732">
        <v>2025</v>
      </c>
      <c r="M7" s="732">
        <v>2025</v>
      </c>
      <c r="N7" s="732">
        <v>2025</v>
      </c>
      <c r="O7" s="732">
        <v>2025</v>
      </c>
      <c r="P7" s="732">
        <v>2025</v>
      </c>
      <c r="Q7" s="732">
        <v>2025</v>
      </c>
      <c r="R7" s="732">
        <v>2025</v>
      </c>
      <c r="S7" s="732">
        <v>2025</v>
      </c>
      <c r="T7" s="732">
        <v>2025</v>
      </c>
      <c r="U7" s="958"/>
      <c r="V7" s="958"/>
      <c r="W7" s="958"/>
      <c r="X7" s="958"/>
      <c r="Y7" s="958"/>
      <c r="Z7" s="730"/>
      <c r="AA7" s="730"/>
      <c r="AB7" s="730"/>
      <c r="AC7" s="730"/>
      <c r="AD7" s="730"/>
      <c r="AE7" s="730"/>
    </row>
    <row r="8" spans="1:31">
      <c r="A8" s="733" t="s">
        <v>254</v>
      </c>
      <c r="B8" s="733"/>
      <c r="C8" s="734" t="s">
        <v>899</v>
      </c>
      <c r="D8" s="735"/>
      <c r="E8" s="736">
        <v>45413</v>
      </c>
      <c r="F8" s="736">
        <v>48579</v>
      </c>
      <c r="G8" s="737" t="s">
        <v>900</v>
      </c>
      <c r="H8" s="738">
        <v>2068094.4950000003</v>
      </c>
      <c r="I8" s="738">
        <v>2434322.7588461563</v>
      </c>
      <c r="J8" s="738">
        <v>2797263.2276923121</v>
      </c>
      <c r="K8" s="738">
        <v>4913945.321538467</v>
      </c>
      <c r="L8" s="738">
        <v>5373446.8153846227</v>
      </c>
      <c r="M8" s="738">
        <v>5757811.6942307781</v>
      </c>
      <c r="N8" s="738">
        <v>6105327.7530769343</v>
      </c>
      <c r="O8" s="738">
        <v>6447631.6069230903</v>
      </c>
      <c r="P8" s="738">
        <v>6761440.4049478741</v>
      </c>
      <c r="Q8" s="738">
        <v>7075392.5255826581</v>
      </c>
      <c r="R8" s="738">
        <v>7493131.2914374424</v>
      </c>
      <c r="S8" s="738">
        <v>7914113.3799022269</v>
      </c>
      <c r="T8" s="738">
        <v>8256665.5005370108</v>
      </c>
      <c r="U8" s="739">
        <f t="shared" ref="U8:U32" si="0">SUM(H8:T8)/13</f>
        <v>5646045.136546121</v>
      </c>
      <c r="V8" s="740"/>
      <c r="W8" s="741">
        <v>1</v>
      </c>
      <c r="X8" s="740"/>
      <c r="Y8" s="742">
        <f t="shared" ref="Y8:Y32" si="1">U8*W8</f>
        <v>5646045.136546121</v>
      </c>
    </row>
    <row r="9" spans="1:31">
      <c r="A9" s="743" t="s">
        <v>880</v>
      </c>
      <c r="B9" s="743"/>
      <c r="C9" s="734" t="s">
        <v>901</v>
      </c>
      <c r="D9" s="734"/>
      <c r="E9" s="744">
        <v>45444</v>
      </c>
      <c r="F9" s="745">
        <v>48213</v>
      </c>
      <c r="G9" s="737" t="s">
        <v>900</v>
      </c>
      <c r="H9" s="738">
        <v>13005523.42</v>
      </c>
      <c r="I9" s="738">
        <v>15024804.668019267</v>
      </c>
      <c r="J9" s="738">
        <v>17511294.378538534</v>
      </c>
      <c r="K9" s="738">
        <v>19976362.039057802</v>
      </c>
      <c r="L9" s="738">
        <v>22035446.187077072</v>
      </c>
      <c r="M9" s="738">
        <v>24150429.835096337</v>
      </c>
      <c r="N9" s="738">
        <v>26260413.483115606</v>
      </c>
      <c r="O9" s="738">
        <v>28359397.131134875</v>
      </c>
      <c r="P9" s="738">
        <v>30315455.728529144</v>
      </c>
      <c r="Q9" s="738">
        <v>32316889.325923413</v>
      </c>
      <c r="R9" s="738">
        <v>34219822.923317678</v>
      </c>
      <c r="S9" s="738">
        <v>36087756.520711944</v>
      </c>
      <c r="T9" s="738">
        <v>37890798.424631208</v>
      </c>
      <c r="U9" s="746">
        <f t="shared" si="0"/>
        <v>25934953.389627144</v>
      </c>
      <c r="V9" s="747"/>
      <c r="W9" s="748">
        <v>1</v>
      </c>
      <c r="X9" s="747"/>
      <c r="Y9" s="749">
        <f t="shared" si="1"/>
        <v>25934953.389627144</v>
      </c>
    </row>
    <row r="10" spans="1:31">
      <c r="A10" s="743" t="s">
        <v>881</v>
      </c>
      <c r="B10" s="743"/>
      <c r="C10" s="734"/>
      <c r="D10" s="734"/>
      <c r="E10" s="734"/>
      <c r="F10" s="734"/>
      <c r="G10" s="737"/>
      <c r="H10" s="738"/>
      <c r="I10" s="738"/>
      <c r="J10" s="738"/>
      <c r="K10" s="738"/>
      <c r="L10" s="738"/>
      <c r="M10" s="738"/>
      <c r="N10" s="738"/>
      <c r="O10" s="738"/>
      <c r="P10" s="750"/>
      <c r="Q10" s="738"/>
      <c r="R10" s="751"/>
      <c r="S10" s="738"/>
      <c r="T10" s="750"/>
      <c r="U10" s="746">
        <f t="shared" si="0"/>
        <v>0</v>
      </c>
      <c r="V10" s="747"/>
      <c r="W10" s="752">
        <v>0</v>
      </c>
      <c r="X10" s="747"/>
      <c r="Y10" s="749">
        <f t="shared" si="1"/>
        <v>0</v>
      </c>
    </row>
    <row r="11" spans="1:31">
      <c r="A11" s="743" t="s">
        <v>256</v>
      </c>
      <c r="B11" s="743"/>
      <c r="C11" s="734"/>
      <c r="D11" s="734"/>
      <c r="E11" s="734"/>
      <c r="F11" s="734"/>
      <c r="G11" s="737"/>
      <c r="H11" s="738"/>
      <c r="I11" s="738"/>
      <c r="J11" s="738"/>
      <c r="K11" s="738"/>
      <c r="L11" s="738"/>
      <c r="M11" s="738"/>
      <c r="N11" s="738"/>
      <c r="O11" s="738"/>
      <c r="P11" s="750"/>
      <c r="Q11" s="738"/>
      <c r="R11" s="751"/>
      <c r="S11" s="738"/>
      <c r="T11" s="750"/>
      <c r="U11" s="746">
        <f t="shared" si="0"/>
        <v>0</v>
      </c>
      <c r="V11" s="747"/>
      <c r="W11" s="752">
        <v>0</v>
      </c>
      <c r="X11" s="747"/>
      <c r="Y11" s="749">
        <f t="shared" si="1"/>
        <v>0</v>
      </c>
    </row>
    <row r="12" spans="1:31">
      <c r="A12" s="743" t="s">
        <v>256</v>
      </c>
      <c r="B12" s="743"/>
      <c r="C12" s="734"/>
      <c r="D12" s="734"/>
      <c r="E12" s="734"/>
      <c r="F12" s="734"/>
      <c r="G12" s="737"/>
      <c r="H12" s="738"/>
      <c r="I12" s="738"/>
      <c r="J12" s="738"/>
      <c r="K12" s="738"/>
      <c r="L12" s="738"/>
      <c r="M12" s="738"/>
      <c r="N12" s="738"/>
      <c r="O12" s="738"/>
      <c r="P12" s="750"/>
      <c r="Q12" s="738"/>
      <c r="R12" s="751"/>
      <c r="S12" s="738"/>
      <c r="T12" s="750"/>
      <c r="U12" s="746">
        <f t="shared" si="0"/>
        <v>0</v>
      </c>
      <c r="V12" s="747"/>
      <c r="W12" s="752">
        <v>0</v>
      </c>
      <c r="X12" s="747"/>
      <c r="Y12" s="749">
        <f t="shared" si="1"/>
        <v>0</v>
      </c>
    </row>
    <row r="13" spans="1:31">
      <c r="A13" s="743" t="s">
        <v>256</v>
      </c>
      <c r="B13" s="743"/>
      <c r="C13" s="734"/>
      <c r="D13" s="734"/>
      <c r="E13" s="734"/>
      <c r="F13" s="734"/>
      <c r="G13" s="737"/>
      <c r="H13" s="738"/>
      <c r="I13" s="738"/>
      <c r="J13" s="738"/>
      <c r="K13" s="738"/>
      <c r="L13" s="738"/>
      <c r="M13" s="738"/>
      <c r="N13" s="738"/>
      <c r="O13" s="738"/>
      <c r="P13" s="750"/>
      <c r="Q13" s="738"/>
      <c r="R13" s="751"/>
      <c r="S13" s="738"/>
      <c r="T13" s="750"/>
      <c r="U13" s="746">
        <f t="shared" si="0"/>
        <v>0</v>
      </c>
      <c r="V13" s="747"/>
      <c r="W13" s="752">
        <v>0</v>
      </c>
      <c r="X13" s="747"/>
      <c r="Y13" s="749">
        <f t="shared" si="1"/>
        <v>0</v>
      </c>
    </row>
    <row r="14" spans="1:31">
      <c r="A14" s="743" t="s">
        <v>256</v>
      </c>
      <c r="B14" s="743"/>
      <c r="C14" s="734"/>
      <c r="D14" s="734"/>
      <c r="E14" s="734"/>
      <c r="F14" s="734"/>
      <c r="G14" s="737"/>
      <c r="H14" s="738"/>
      <c r="I14" s="738"/>
      <c r="J14" s="738"/>
      <c r="K14" s="738"/>
      <c r="L14" s="738"/>
      <c r="M14" s="738"/>
      <c r="N14" s="738"/>
      <c r="O14" s="738"/>
      <c r="P14" s="750"/>
      <c r="Q14" s="738"/>
      <c r="R14" s="751"/>
      <c r="S14" s="738"/>
      <c r="T14" s="750"/>
      <c r="U14" s="746">
        <f t="shared" si="0"/>
        <v>0</v>
      </c>
      <c r="V14" s="747"/>
      <c r="W14" s="752">
        <v>0</v>
      </c>
      <c r="X14" s="747"/>
      <c r="Y14" s="749">
        <f t="shared" si="1"/>
        <v>0</v>
      </c>
    </row>
    <row r="15" spans="1:31">
      <c r="A15" s="743" t="s">
        <v>256</v>
      </c>
      <c r="B15" s="743"/>
      <c r="C15" s="734"/>
      <c r="D15" s="734"/>
      <c r="E15" s="734"/>
      <c r="F15" s="734"/>
      <c r="G15" s="737"/>
      <c r="H15" s="738"/>
      <c r="I15" s="738"/>
      <c r="J15" s="738"/>
      <c r="K15" s="738"/>
      <c r="L15" s="738"/>
      <c r="M15" s="738"/>
      <c r="N15" s="738"/>
      <c r="O15" s="738"/>
      <c r="P15" s="750"/>
      <c r="Q15" s="738"/>
      <c r="R15" s="751"/>
      <c r="S15" s="738"/>
      <c r="T15" s="750"/>
      <c r="U15" s="746">
        <f t="shared" si="0"/>
        <v>0</v>
      </c>
      <c r="V15" s="747"/>
      <c r="W15" s="752">
        <v>0</v>
      </c>
      <c r="X15" s="747"/>
      <c r="Y15" s="749">
        <f t="shared" si="1"/>
        <v>0</v>
      </c>
    </row>
    <row r="16" spans="1:31">
      <c r="A16" s="743" t="s">
        <v>256</v>
      </c>
      <c r="B16" s="743"/>
      <c r="C16" s="734"/>
      <c r="D16" s="734"/>
      <c r="E16" s="734"/>
      <c r="F16" s="734"/>
      <c r="G16" s="737"/>
      <c r="H16" s="738"/>
      <c r="I16" s="738"/>
      <c r="J16" s="738"/>
      <c r="K16" s="738"/>
      <c r="L16" s="738"/>
      <c r="M16" s="738"/>
      <c r="N16" s="738"/>
      <c r="O16" s="738"/>
      <c r="P16" s="750"/>
      <c r="Q16" s="738"/>
      <c r="R16" s="751"/>
      <c r="S16" s="738"/>
      <c r="T16" s="750"/>
      <c r="U16" s="746">
        <f t="shared" si="0"/>
        <v>0</v>
      </c>
      <c r="V16" s="747"/>
      <c r="W16" s="752">
        <v>0</v>
      </c>
      <c r="X16" s="747"/>
      <c r="Y16" s="749">
        <f t="shared" si="1"/>
        <v>0</v>
      </c>
    </row>
    <row r="17" spans="1:25">
      <c r="A17" s="743" t="s">
        <v>256</v>
      </c>
      <c r="B17" s="743"/>
      <c r="C17" s="734"/>
      <c r="D17" s="734"/>
      <c r="E17" s="734"/>
      <c r="F17" s="734"/>
      <c r="G17" s="737"/>
      <c r="H17" s="738"/>
      <c r="I17" s="738"/>
      <c r="J17" s="738"/>
      <c r="K17" s="738"/>
      <c r="L17" s="738"/>
      <c r="M17" s="738"/>
      <c r="N17" s="738"/>
      <c r="O17" s="738"/>
      <c r="P17" s="750"/>
      <c r="Q17" s="738"/>
      <c r="R17" s="751"/>
      <c r="S17" s="738"/>
      <c r="T17" s="750"/>
      <c r="U17" s="746">
        <f t="shared" si="0"/>
        <v>0</v>
      </c>
      <c r="V17" s="747"/>
      <c r="W17" s="752">
        <v>0</v>
      </c>
      <c r="X17" s="747"/>
      <c r="Y17" s="749">
        <f t="shared" si="1"/>
        <v>0</v>
      </c>
    </row>
    <row r="18" spans="1:25">
      <c r="A18" s="743" t="s">
        <v>256</v>
      </c>
      <c r="B18" s="743"/>
      <c r="C18" s="734"/>
      <c r="D18" s="734"/>
      <c r="E18" s="734"/>
      <c r="F18" s="734"/>
      <c r="G18" s="737"/>
      <c r="H18" s="738"/>
      <c r="I18" s="738"/>
      <c r="J18" s="738"/>
      <c r="K18" s="738"/>
      <c r="L18" s="738"/>
      <c r="M18" s="738"/>
      <c r="N18" s="738"/>
      <c r="O18" s="738"/>
      <c r="P18" s="750"/>
      <c r="Q18" s="738"/>
      <c r="R18" s="751"/>
      <c r="S18" s="738"/>
      <c r="T18" s="750"/>
      <c r="U18" s="746">
        <f t="shared" si="0"/>
        <v>0</v>
      </c>
      <c r="V18" s="747"/>
      <c r="W18" s="752">
        <v>0</v>
      </c>
      <c r="X18" s="747"/>
      <c r="Y18" s="749">
        <f t="shared" si="1"/>
        <v>0</v>
      </c>
    </row>
    <row r="19" spans="1:25">
      <c r="A19" s="743" t="s">
        <v>256</v>
      </c>
      <c r="B19" s="743"/>
      <c r="C19" s="734"/>
      <c r="D19" s="734"/>
      <c r="E19" s="734"/>
      <c r="F19" s="734"/>
      <c r="G19" s="737"/>
      <c r="H19" s="738"/>
      <c r="I19" s="738"/>
      <c r="J19" s="738"/>
      <c r="K19" s="738"/>
      <c r="L19" s="738"/>
      <c r="M19" s="738"/>
      <c r="N19" s="738"/>
      <c r="O19" s="738"/>
      <c r="P19" s="750"/>
      <c r="Q19" s="738"/>
      <c r="R19" s="751"/>
      <c r="S19" s="738"/>
      <c r="T19" s="750"/>
      <c r="U19" s="746">
        <f t="shared" si="0"/>
        <v>0</v>
      </c>
      <c r="V19" s="747"/>
      <c r="W19" s="752">
        <v>0</v>
      </c>
      <c r="X19" s="747"/>
      <c r="Y19" s="749">
        <f t="shared" si="1"/>
        <v>0</v>
      </c>
    </row>
    <row r="20" spans="1:25">
      <c r="A20" s="743" t="s">
        <v>256</v>
      </c>
      <c r="B20" s="743"/>
      <c r="C20" s="734"/>
      <c r="D20" s="734"/>
      <c r="E20" s="734"/>
      <c r="F20" s="734"/>
      <c r="G20" s="737"/>
      <c r="H20" s="738"/>
      <c r="I20" s="738"/>
      <c r="J20" s="738"/>
      <c r="K20" s="738"/>
      <c r="L20" s="738"/>
      <c r="M20" s="738"/>
      <c r="N20" s="738"/>
      <c r="O20" s="738"/>
      <c r="P20" s="750"/>
      <c r="Q20" s="738"/>
      <c r="R20" s="751"/>
      <c r="S20" s="738"/>
      <c r="T20" s="750"/>
      <c r="U20" s="746">
        <f t="shared" si="0"/>
        <v>0</v>
      </c>
      <c r="V20" s="747"/>
      <c r="W20" s="752">
        <v>0</v>
      </c>
      <c r="X20" s="747"/>
      <c r="Y20" s="749">
        <f t="shared" si="1"/>
        <v>0</v>
      </c>
    </row>
    <row r="21" spans="1:25">
      <c r="A21" s="743" t="s">
        <v>256</v>
      </c>
      <c r="B21" s="743"/>
      <c r="C21" s="734"/>
      <c r="D21" s="734"/>
      <c r="E21" s="734"/>
      <c r="F21" s="734"/>
      <c r="G21" s="737"/>
      <c r="H21" s="738"/>
      <c r="I21" s="738"/>
      <c r="J21" s="738"/>
      <c r="K21" s="738"/>
      <c r="L21" s="738"/>
      <c r="M21" s="738"/>
      <c r="N21" s="738"/>
      <c r="O21" s="738"/>
      <c r="P21" s="750"/>
      <c r="Q21" s="738"/>
      <c r="R21" s="751"/>
      <c r="S21" s="738"/>
      <c r="T21" s="750"/>
      <c r="U21" s="746">
        <f t="shared" si="0"/>
        <v>0</v>
      </c>
      <c r="V21" s="747"/>
      <c r="W21" s="752">
        <v>0</v>
      </c>
      <c r="X21" s="747"/>
      <c r="Y21" s="749">
        <f t="shared" si="1"/>
        <v>0</v>
      </c>
    </row>
    <row r="22" spans="1:25">
      <c r="A22" s="743" t="s">
        <v>256</v>
      </c>
      <c r="B22" s="743"/>
      <c r="C22" s="734"/>
      <c r="D22" s="734"/>
      <c r="E22" s="734"/>
      <c r="F22" s="734"/>
      <c r="G22" s="737"/>
      <c r="H22" s="738"/>
      <c r="I22" s="738"/>
      <c r="J22" s="738"/>
      <c r="K22" s="738"/>
      <c r="L22" s="738"/>
      <c r="M22" s="738"/>
      <c r="N22" s="738"/>
      <c r="O22" s="738"/>
      <c r="P22" s="750"/>
      <c r="Q22" s="738"/>
      <c r="R22" s="751"/>
      <c r="S22" s="738"/>
      <c r="T22" s="750"/>
      <c r="U22" s="746">
        <f t="shared" si="0"/>
        <v>0</v>
      </c>
      <c r="V22" s="747"/>
      <c r="W22" s="752">
        <v>0</v>
      </c>
      <c r="X22" s="747"/>
      <c r="Y22" s="749">
        <f t="shared" si="1"/>
        <v>0</v>
      </c>
    </row>
    <row r="23" spans="1:25">
      <c r="A23" s="743" t="s">
        <v>256</v>
      </c>
      <c r="B23" s="743"/>
      <c r="C23" s="734"/>
      <c r="D23" s="734"/>
      <c r="E23" s="734"/>
      <c r="F23" s="734"/>
      <c r="G23" s="737"/>
      <c r="H23" s="738"/>
      <c r="I23" s="738"/>
      <c r="J23" s="738"/>
      <c r="K23" s="738"/>
      <c r="L23" s="738"/>
      <c r="M23" s="738"/>
      <c r="N23" s="738"/>
      <c r="O23" s="738"/>
      <c r="P23" s="750"/>
      <c r="Q23" s="738"/>
      <c r="R23" s="751"/>
      <c r="S23" s="738"/>
      <c r="T23" s="750"/>
      <c r="U23" s="746">
        <f t="shared" si="0"/>
        <v>0</v>
      </c>
      <c r="V23" s="747"/>
      <c r="W23" s="752">
        <v>0</v>
      </c>
      <c r="X23" s="747"/>
      <c r="Y23" s="749">
        <f t="shared" si="1"/>
        <v>0</v>
      </c>
    </row>
    <row r="24" spans="1:25">
      <c r="A24" s="743" t="s">
        <v>256</v>
      </c>
      <c r="B24" s="743"/>
      <c r="C24" s="734"/>
      <c r="D24" s="734"/>
      <c r="E24" s="734"/>
      <c r="F24" s="734"/>
      <c r="G24" s="737"/>
      <c r="H24" s="738"/>
      <c r="I24" s="738"/>
      <c r="J24" s="738"/>
      <c r="K24" s="738"/>
      <c r="L24" s="738"/>
      <c r="M24" s="738"/>
      <c r="N24" s="738"/>
      <c r="O24" s="738"/>
      <c r="P24" s="750"/>
      <c r="Q24" s="738"/>
      <c r="R24" s="751"/>
      <c r="S24" s="738"/>
      <c r="T24" s="750"/>
      <c r="U24" s="746">
        <f t="shared" si="0"/>
        <v>0</v>
      </c>
      <c r="V24" s="747"/>
      <c r="W24" s="752">
        <v>0</v>
      </c>
      <c r="X24" s="747"/>
      <c r="Y24" s="749">
        <f t="shared" si="1"/>
        <v>0</v>
      </c>
    </row>
    <row r="25" spans="1:25">
      <c r="A25" s="743" t="s">
        <v>256</v>
      </c>
      <c r="B25" s="743"/>
      <c r="C25" s="734"/>
      <c r="D25" s="734"/>
      <c r="E25" s="734"/>
      <c r="F25" s="734"/>
      <c r="G25" s="737"/>
      <c r="H25" s="738"/>
      <c r="I25" s="738"/>
      <c r="J25" s="738"/>
      <c r="K25" s="738"/>
      <c r="L25" s="738"/>
      <c r="M25" s="738"/>
      <c r="N25" s="738"/>
      <c r="O25" s="738"/>
      <c r="P25" s="750"/>
      <c r="Q25" s="738"/>
      <c r="R25" s="751"/>
      <c r="S25" s="738"/>
      <c r="T25" s="750"/>
      <c r="U25" s="746">
        <f t="shared" si="0"/>
        <v>0</v>
      </c>
      <c r="V25" s="743"/>
      <c r="W25" s="752">
        <v>0</v>
      </c>
      <c r="X25" s="743"/>
      <c r="Y25" s="749">
        <f t="shared" si="1"/>
        <v>0</v>
      </c>
    </row>
    <row r="26" spans="1:25">
      <c r="A26" s="743" t="s">
        <v>256</v>
      </c>
      <c r="B26" s="743"/>
      <c r="C26" s="734"/>
      <c r="D26" s="734"/>
      <c r="E26" s="734"/>
      <c r="F26" s="734"/>
      <c r="G26" s="737"/>
      <c r="H26" s="738"/>
      <c r="I26" s="738"/>
      <c r="J26" s="738"/>
      <c r="K26" s="738"/>
      <c r="L26" s="738"/>
      <c r="M26" s="738"/>
      <c r="N26" s="738"/>
      <c r="O26" s="738"/>
      <c r="P26" s="750"/>
      <c r="Q26" s="738"/>
      <c r="R26" s="751"/>
      <c r="S26" s="738"/>
      <c r="T26" s="750"/>
      <c r="U26" s="746">
        <f t="shared" si="0"/>
        <v>0</v>
      </c>
      <c r="V26" s="743"/>
      <c r="W26" s="752">
        <v>0</v>
      </c>
      <c r="X26" s="743"/>
      <c r="Y26" s="749">
        <f t="shared" si="1"/>
        <v>0</v>
      </c>
    </row>
    <row r="27" spans="1:25">
      <c r="A27" s="743" t="s">
        <v>256</v>
      </c>
      <c r="B27" s="743"/>
      <c r="C27" s="734"/>
      <c r="D27" s="734"/>
      <c r="E27" s="734"/>
      <c r="F27" s="734"/>
      <c r="G27" s="737"/>
      <c r="H27" s="738"/>
      <c r="I27" s="738"/>
      <c r="J27" s="738"/>
      <c r="K27" s="738"/>
      <c r="L27" s="738"/>
      <c r="M27" s="738"/>
      <c r="N27" s="738"/>
      <c r="O27" s="738"/>
      <c r="P27" s="750"/>
      <c r="Q27" s="738"/>
      <c r="R27" s="751"/>
      <c r="S27" s="738"/>
      <c r="T27" s="750"/>
      <c r="U27" s="746">
        <f t="shared" si="0"/>
        <v>0</v>
      </c>
      <c r="V27" s="743"/>
      <c r="W27" s="752">
        <v>0</v>
      </c>
      <c r="X27" s="743"/>
      <c r="Y27" s="749">
        <f t="shared" si="1"/>
        <v>0</v>
      </c>
    </row>
    <row r="28" spans="1:25">
      <c r="A28" s="743" t="s">
        <v>256</v>
      </c>
      <c r="B28" s="743"/>
      <c r="C28" s="734"/>
      <c r="D28" s="734"/>
      <c r="E28" s="734"/>
      <c r="F28" s="734"/>
      <c r="G28" s="737"/>
      <c r="H28" s="738"/>
      <c r="I28" s="738"/>
      <c r="J28" s="738"/>
      <c r="K28" s="738"/>
      <c r="L28" s="738"/>
      <c r="M28" s="738"/>
      <c r="N28" s="738"/>
      <c r="O28" s="738"/>
      <c r="P28" s="750"/>
      <c r="Q28" s="738"/>
      <c r="R28" s="751"/>
      <c r="S28" s="738"/>
      <c r="T28" s="750"/>
      <c r="U28" s="746">
        <f t="shared" si="0"/>
        <v>0</v>
      </c>
      <c r="V28" s="743"/>
      <c r="W28" s="752">
        <v>0</v>
      </c>
      <c r="X28" s="743"/>
      <c r="Y28" s="749">
        <f t="shared" si="1"/>
        <v>0</v>
      </c>
    </row>
    <row r="29" spans="1:25">
      <c r="A29" s="743" t="s">
        <v>256</v>
      </c>
      <c r="B29" s="743"/>
      <c r="C29" s="734"/>
      <c r="D29" s="734"/>
      <c r="E29" s="734"/>
      <c r="F29" s="734"/>
      <c r="G29" s="737"/>
      <c r="H29" s="738"/>
      <c r="I29" s="738"/>
      <c r="J29" s="738"/>
      <c r="K29" s="738"/>
      <c r="L29" s="738"/>
      <c r="M29" s="738"/>
      <c r="N29" s="738"/>
      <c r="O29" s="738"/>
      <c r="P29" s="750"/>
      <c r="Q29" s="738"/>
      <c r="R29" s="751"/>
      <c r="S29" s="738"/>
      <c r="T29" s="750"/>
      <c r="U29" s="746">
        <f t="shared" si="0"/>
        <v>0</v>
      </c>
      <c r="V29" s="743"/>
      <c r="W29" s="752">
        <v>0</v>
      </c>
      <c r="X29" s="743"/>
      <c r="Y29" s="749">
        <f t="shared" si="1"/>
        <v>0</v>
      </c>
    </row>
    <row r="30" spans="1:25">
      <c r="A30" s="743" t="s">
        <v>256</v>
      </c>
      <c r="B30" s="743"/>
      <c r="C30" s="734"/>
      <c r="D30" s="734"/>
      <c r="E30" s="734"/>
      <c r="F30" s="734"/>
      <c r="G30" s="737"/>
      <c r="H30" s="738"/>
      <c r="I30" s="738"/>
      <c r="J30" s="738"/>
      <c r="K30" s="738"/>
      <c r="L30" s="738"/>
      <c r="M30" s="738"/>
      <c r="N30" s="738"/>
      <c r="O30" s="738"/>
      <c r="P30" s="750"/>
      <c r="Q30" s="738"/>
      <c r="R30" s="751"/>
      <c r="S30" s="738"/>
      <c r="T30" s="750"/>
      <c r="U30" s="746">
        <f t="shared" si="0"/>
        <v>0</v>
      </c>
      <c r="V30" s="743"/>
      <c r="W30" s="752">
        <v>0</v>
      </c>
      <c r="X30" s="743"/>
      <c r="Y30" s="749">
        <f t="shared" si="1"/>
        <v>0</v>
      </c>
    </row>
    <row r="31" spans="1:25">
      <c r="A31" s="743" t="s">
        <v>256</v>
      </c>
      <c r="B31" s="743"/>
      <c r="C31" s="734"/>
      <c r="D31" s="734"/>
      <c r="E31" s="734"/>
      <c r="F31" s="734"/>
      <c r="G31" s="737"/>
      <c r="H31" s="738"/>
      <c r="I31" s="738"/>
      <c r="J31" s="738"/>
      <c r="K31" s="738"/>
      <c r="L31" s="738"/>
      <c r="M31" s="738"/>
      <c r="N31" s="738"/>
      <c r="O31" s="738"/>
      <c r="P31" s="750"/>
      <c r="Q31" s="738"/>
      <c r="R31" s="751"/>
      <c r="S31" s="738"/>
      <c r="T31" s="750"/>
      <c r="U31" s="746">
        <f t="shared" si="0"/>
        <v>0</v>
      </c>
      <c r="V31" s="743"/>
      <c r="W31" s="752">
        <v>0</v>
      </c>
      <c r="X31" s="743"/>
      <c r="Y31" s="749">
        <f t="shared" si="1"/>
        <v>0</v>
      </c>
    </row>
    <row r="32" spans="1:25">
      <c r="A32" s="743" t="s">
        <v>258</v>
      </c>
      <c r="B32" s="743"/>
      <c r="C32" s="734"/>
      <c r="D32" s="734"/>
      <c r="E32" s="734"/>
      <c r="F32" s="734"/>
      <c r="G32" s="737"/>
      <c r="H32" s="738"/>
      <c r="I32" s="738"/>
      <c r="J32" s="738"/>
      <c r="K32" s="738"/>
      <c r="L32" s="738"/>
      <c r="M32" s="738"/>
      <c r="N32" s="738"/>
      <c r="O32" s="738"/>
      <c r="P32" s="750"/>
      <c r="Q32" s="738"/>
      <c r="R32" s="751"/>
      <c r="S32" s="738"/>
      <c r="T32" s="750"/>
      <c r="U32" s="746">
        <f t="shared" si="0"/>
        <v>0</v>
      </c>
      <c r="V32" s="743"/>
      <c r="W32" s="752">
        <v>0</v>
      </c>
      <c r="X32" s="743"/>
      <c r="Y32" s="753">
        <f t="shared" si="1"/>
        <v>0</v>
      </c>
    </row>
    <row r="33" spans="1:31" s="715" customFormat="1">
      <c r="A33" s="754">
        <v>2</v>
      </c>
      <c r="B33" s="754"/>
      <c r="C33" s="755"/>
      <c r="D33" s="755"/>
      <c r="E33" s="755"/>
      <c r="F33" s="755"/>
      <c r="G33" s="755"/>
      <c r="H33" s="755"/>
      <c r="I33" s="755"/>
      <c r="J33" s="755"/>
      <c r="K33" s="755"/>
      <c r="L33" s="755"/>
      <c r="M33" s="755"/>
      <c r="N33" s="755"/>
      <c r="O33" s="755"/>
      <c r="P33" s="755"/>
      <c r="Q33" s="754"/>
      <c r="R33" s="754"/>
      <c r="S33" s="756"/>
      <c r="T33" s="756"/>
      <c r="U33" s="959" t="s">
        <v>902</v>
      </c>
      <c r="V33" s="959"/>
      <c r="W33" s="959"/>
      <c r="X33" s="757"/>
      <c r="Y33" s="758">
        <f>SUM(Y8:Y32)</f>
        <v>31580998.526173264</v>
      </c>
      <c r="Z33" s="755"/>
      <c r="AA33" s="755"/>
      <c r="AB33" s="755"/>
      <c r="AC33" s="755"/>
      <c r="AD33" s="755"/>
      <c r="AE33" s="755"/>
    </row>
    <row r="34" spans="1:31">
      <c r="V34" s="960"/>
      <c r="W34" s="960"/>
      <c r="X34" s="960"/>
    </row>
    <row r="35" spans="1:31" ht="21.75" customHeight="1">
      <c r="H35" s="755" t="s">
        <v>903</v>
      </c>
      <c r="I35" s="755"/>
      <c r="J35" s="755"/>
      <c r="K35" s="755"/>
      <c r="L35" s="755"/>
      <c r="M35" s="755"/>
      <c r="N35" s="755"/>
      <c r="O35" s="754"/>
      <c r="X35" s="723"/>
    </row>
    <row r="36" spans="1:31" ht="19.5" customHeight="1">
      <c r="A36" s="762"/>
      <c r="B36" s="763"/>
      <c r="C36" s="961"/>
      <c r="D36" s="961"/>
      <c r="E36" s="961"/>
      <c r="F36" s="961"/>
      <c r="G36" s="961"/>
      <c r="H36" s="764" t="s">
        <v>39</v>
      </c>
      <c r="I36" s="723" t="s">
        <v>904</v>
      </c>
      <c r="R36" s="765"/>
      <c r="S36" s="765"/>
      <c r="T36" s="765"/>
      <c r="X36" s="723"/>
    </row>
    <row r="37" spans="1:31" ht="11.25" customHeight="1">
      <c r="A37" s="762"/>
      <c r="B37" s="762"/>
      <c r="C37" s="961"/>
      <c r="D37" s="961"/>
      <c r="E37" s="961"/>
      <c r="F37" s="961"/>
      <c r="G37" s="961"/>
      <c r="H37" s="766"/>
      <c r="I37" s="766"/>
      <c r="J37" s="765"/>
      <c r="K37" s="765"/>
      <c r="L37" s="765"/>
      <c r="M37" s="765"/>
      <c r="N37" s="765"/>
      <c r="O37" s="767"/>
      <c r="P37" s="767"/>
      <c r="Q37" s="767"/>
      <c r="R37" s="767"/>
      <c r="S37" s="767"/>
      <c r="T37" s="767"/>
      <c r="V37" s="723"/>
      <c r="X37" s="723"/>
    </row>
    <row r="38" spans="1:31" ht="11.25" customHeight="1">
      <c r="A38" s="762"/>
      <c r="B38" s="762"/>
      <c r="C38" s="961"/>
      <c r="D38" s="961"/>
      <c r="E38" s="961"/>
      <c r="F38" s="961"/>
      <c r="G38" s="961"/>
      <c r="H38" s="766"/>
      <c r="I38" s="766"/>
      <c r="J38" s="767"/>
      <c r="K38" s="767"/>
      <c r="L38" s="767"/>
      <c r="M38" s="767"/>
      <c r="N38" s="767"/>
      <c r="O38" s="768"/>
      <c r="P38" s="768"/>
      <c r="Q38" s="768"/>
      <c r="R38" s="768"/>
      <c r="S38" s="768"/>
      <c r="T38" s="768"/>
      <c r="V38" s="723"/>
      <c r="X38" s="723"/>
    </row>
    <row r="39" spans="1:31">
      <c r="A39" s="762"/>
      <c r="B39" s="762"/>
      <c r="H39" s="768"/>
      <c r="I39" s="768"/>
      <c r="J39" s="768"/>
      <c r="K39" s="768"/>
      <c r="L39" s="768"/>
      <c r="M39" s="768"/>
      <c r="N39" s="768"/>
      <c r="V39" s="723"/>
      <c r="X39" s="723"/>
    </row>
    <row r="40" spans="1:31">
      <c r="A40" s="762"/>
      <c r="B40" s="762"/>
      <c r="V40" s="754"/>
      <c r="X40" s="723"/>
    </row>
    <row r="41" spans="1:31">
      <c r="A41" s="762"/>
      <c r="B41" s="762"/>
      <c r="C41" s="275"/>
      <c r="D41" s="275"/>
      <c r="E41" s="275"/>
      <c r="F41" s="275"/>
      <c r="V41" s="723"/>
    </row>
    <row r="42" spans="1:31">
      <c r="A42" s="762"/>
      <c r="B42" s="762"/>
      <c r="S42" s="755"/>
      <c r="T42" s="755"/>
      <c r="U42" s="759"/>
      <c r="V42" s="723"/>
    </row>
    <row r="43" spans="1:31">
      <c r="A43" s="762"/>
      <c r="B43" s="762"/>
      <c r="S43" s="755"/>
      <c r="T43" s="755"/>
      <c r="U43" s="759"/>
      <c r="V43" s="723"/>
    </row>
    <row r="44" spans="1:31">
      <c r="A44" s="762"/>
      <c r="B44" s="762"/>
      <c r="S44" s="755"/>
      <c r="T44" s="755"/>
      <c r="U44" s="759"/>
      <c r="V44" s="723"/>
    </row>
    <row r="45" spans="1:31">
      <c r="A45" s="762"/>
      <c r="B45" s="762"/>
      <c r="S45" s="755"/>
      <c r="T45" s="755"/>
      <c r="U45" s="759"/>
    </row>
    <row r="46" spans="1:31">
      <c r="A46" s="762"/>
      <c r="B46" s="762"/>
      <c r="S46" s="755"/>
      <c r="T46" s="755"/>
      <c r="U46" s="759"/>
    </row>
    <row r="47" spans="1:31">
      <c r="A47" s="762"/>
      <c r="B47" s="762"/>
    </row>
  </sheetData>
  <mergeCells count="24">
    <mergeCell ref="V34:X34"/>
    <mergeCell ref="C36:G38"/>
    <mergeCell ref="U6:U7"/>
    <mergeCell ref="V6:V7"/>
    <mergeCell ref="W6:W7"/>
    <mergeCell ref="X6:X7"/>
    <mergeCell ref="Y6:Y7"/>
    <mergeCell ref="U33:W33"/>
    <mergeCell ref="C3:D3"/>
    <mergeCell ref="E3:G3"/>
    <mergeCell ref="L3:P3"/>
    <mergeCell ref="U3:Z3"/>
    <mergeCell ref="G6:G7"/>
    <mergeCell ref="A6:A7"/>
    <mergeCell ref="C6:C7"/>
    <mergeCell ref="D6:D7"/>
    <mergeCell ref="E6:E7"/>
    <mergeCell ref="F6:F7"/>
    <mergeCell ref="A1:G1"/>
    <mergeCell ref="H1:T1"/>
    <mergeCell ref="U1:AA1"/>
    <mergeCell ref="A2:G2"/>
    <mergeCell ref="H2:T2"/>
    <mergeCell ref="U2:AA2"/>
  </mergeCells>
  <pageMargins left="0.7" right="0.7" top="0.75" bottom="0.75" header="0.3" footer="0.3"/>
  <pageSetup scale="36" orientation="landscape" r:id="rId1"/>
  <headerFooter>
    <oddFooter>&amp;RPage &amp;P of &amp;N</oddFooter>
  </headerFooter>
  <colBreaks count="2" manualBreakCount="2">
    <brk id="7" max="35" man="1"/>
    <brk id="20" max="35" man="1"/>
  </colBreaks>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C7F8-6DD6-444D-B4C1-55FB311C341D}">
  <dimension ref="A2:G77"/>
  <sheetViews>
    <sheetView view="pageBreakPreview" topLeftCell="A10" zoomScaleNormal="100" zoomScaleSheetLayoutView="100" workbookViewId="0">
      <selection activeCell="E187" sqref="E187"/>
    </sheetView>
  </sheetViews>
  <sheetFormatPr defaultRowHeight="15.75"/>
  <cols>
    <col min="1" max="1" width="6.5546875" style="77" customWidth="1"/>
    <col min="2" max="2" width="2.88671875" style="77" customWidth="1"/>
    <col min="3" max="3" width="7.5546875" style="23" customWidth="1"/>
    <col min="4" max="4" width="50.88671875" style="23" customWidth="1"/>
    <col min="5" max="5" width="8.88671875" style="23" bestFit="1" customWidth="1"/>
    <col min="6" max="6" width="25" style="23" customWidth="1"/>
  </cols>
  <sheetData>
    <row r="2" spans="1:7">
      <c r="C2" s="862" t="s">
        <v>905</v>
      </c>
      <c r="D2" s="862"/>
      <c r="E2" s="862"/>
      <c r="F2" s="862"/>
    </row>
    <row r="3" spans="1:7">
      <c r="C3" s="956"/>
      <c r="D3" s="956"/>
      <c r="E3" s="956"/>
      <c r="F3" s="956"/>
    </row>
    <row r="4" spans="1:7">
      <c r="C4" s="936" t="s">
        <v>6</v>
      </c>
      <c r="D4" s="940"/>
      <c r="E4" s="940"/>
      <c r="F4" s="940"/>
    </row>
    <row r="7" spans="1:7">
      <c r="G7" s="769"/>
    </row>
    <row r="8" spans="1:7">
      <c r="A8" s="77" t="s">
        <v>41</v>
      </c>
      <c r="C8" s="23" t="s">
        <v>906</v>
      </c>
      <c r="D8" s="23" t="s">
        <v>907</v>
      </c>
      <c r="F8" s="23" t="s">
        <v>908</v>
      </c>
      <c r="G8" s="770"/>
    </row>
    <row r="9" spans="1:7">
      <c r="C9" s="771" t="s">
        <v>909</v>
      </c>
      <c r="G9" s="770"/>
    </row>
    <row r="10" spans="1:7">
      <c r="A10" s="77">
        <v>1</v>
      </c>
      <c r="C10" s="772" t="s">
        <v>910</v>
      </c>
      <c r="D10" s="23" t="s">
        <v>911</v>
      </c>
      <c r="F10" s="773">
        <v>0</v>
      </c>
      <c r="G10" s="774"/>
    </row>
    <row r="11" spans="1:7">
      <c r="A11" s="77">
        <f>+A10+1</f>
        <v>2</v>
      </c>
      <c r="C11" s="772" t="s">
        <v>912</v>
      </c>
      <c r="D11" s="23" t="s">
        <v>913</v>
      </c>
      <c r="F11" s="773">
        <v>1.3300000000000001E-2</v>
      </c>
      <c r="G11" s="774"/>
    </row>
    <row r="12" spans="1:7">
      <c r="A12" s="77">
        <f>+A10+1</f>
        <v>2</v>
      </c>
      <c r="C12" s="772" t="s">
        <v>914</v>
      </c>
      <c r="D12" s="23" t="s">
        <v>915</v>
      </c>
      <c r="F12" s="773">
        <v>3.3599999999999998E-2</v>
      </c>
      <c r="G12" s="774"/>
    </row>
    <row r="13" spans="1:7">
      <c r="A13" s="77">
        <f t="shared" ref="A13:A14" si="0">+A12+1</f>
        <v>3</v>
      </c>
      <c r="C13" s="772" t="s">
        <v>916</v>
      </c>
      <c r="D13" s="23" t="s">
        <v>917</v>
      </c>
      <c r="F13" s="773">
        <v>2.92E-2</v>
      </c>
      <c r="G13" s="774"/>
    </row>
    <row r="14" spans="1:7">
      <c r="A14" s="77">
        <f t="shared" si="0"/>
        <v>4</v>
      </c>
      <c r="C14" s="772" t="s">
        <v>918</v>
      </c>
      <c r="D14" s="23" t="s">
        <v>919</v>
      </c>
      <c r="F14" s="773">
        <v>0</v>
      </c>
      <c r="G14" s="774"/>
    </row>
    <row r="15" spans="1:7">
      <c r="A15" s="77">
        <f>+A14+1</f>
        <v>5</v>
      </c>
      <c r="C15" s="772" t="s">
        <v>920</v>
      </c>
      <c r="D15" s="23" t="s">
        <v>921</v>
      </c>
      <c r="F15" s="773">
        <v>2.0499999999999997E-2</v>
      </c>
      <c r="G15" s="774"/>
    </row>
    <row r="16" spans="1:7">
      <c r="A16" s="77">
        <f t="shared" ref="A16:A38" si="1">+A15+1</f>
        <v>6</v>
      </c>
      <c r="C16" s="772" t="s">
        <v>922</v>
      </c>
      <c r="D16" s="23" t="s">
        <v>923</v>
      </c>
      <c r="F16" s="773">
        <v>3.1E-2</v>
      </c>
      <c r="G16" s="774"/>
    </row>
    <row r="17" spans="1:7">
      <c r="A17" s="77">
        <f t="shared" si="1"/>
        <v>7</v>
      </c>
      <c r="C17" s="772" t="s">
        <v>924</v>
      </c>
      <c r="D17" s="23" t="s">
        <v>925</v>
      </c>
      <c r="F17" s="773">
        <v>1.1599999999999999E-2</v>
      </c>
      <c r="G17" s="774"/>
    </row>
    <row r="18" spans="1:7">
      <c r="A18" s="77">
        <f t="shared" si="1"/>
        <v>8</v>
      </c>
      <c r="C18" s="772" t="s">
        <v>926</v>
      </c>
      <c r="D18" s="23" t="s">
        <v>927</v>
      </c>
      <c r="F18" s="773">
        <v>1.61E-2</v>
      </c>
      <c r="G18" s="774"/>
    </row>
    <row r="19" spans="1:7">
      <c r="A19" s="77">
        <f t="shared" si="1"/>
        <v>9</v>
      </c>
      <c r="C19" s="772" t="s">
        <v>928</v>
      </c>
      <c r="D19" s="23" t="s">
        <v>929</v>
      </c>
      <c r="F19" s="773">
        <v>0</v>
      </c>
      <c r="G19" s="774"/>
    </row>
    <row r="20" spans="1:7">
      <c r="F20" s="775"/>
      <c r="G20" s="774"/>
    </row>
    <row r="21" spans="1:7">
      <c r="C21" s="772" t="s">
        <v>930</v>
      </c>
      <c r="F21" s="775"/>
      <c r="G21" s="774"/>
    </row>
    <row r="22" spans="1:7">
      <c r="A22" s="77">
        <f>+A19+1</f>
        <v>10</v>
      </c>
      <c r="C22" s="772" t="s">
        <v>931</v>
      </c>
      <c r="D22" s="23" t="s">
        <v>932</v>
      </c>
      <c r="F22" s="773">
        <v>0</v>
      </c>
      <c r="G22" s="774"/>
    </row>
    <row r="23" spans="1:7">
      <c r="A23" s="77">
        <f t="shared" si="1"/>
        <v>11</v>
      </c>
      <c r="C23" s="772" t="s">
        <v>933</v>
      </c>
      <c r="D23" s="23" t="s">
        <v>934</v>
      </c>
      <c r="F23" s="773">
        <v>5.2499999999999998E-2</v>
      </c>
      <c r="G23" s="774"/>
    </row>
    <row r="24" spans="1:7">
      <c r="A24" s="77">
        <f t="shared" si="1"/>
        <v>12</v>
      </c>
      <c r="C24" s="776">
        <v>392</v>
      </c>
      <c r="D24" s="23" t="s">
        <v>935</v>
      </c>
      <c r="F24" s="773">
        <v>0</v>
      </c>
      <c r="G24" s="774"/>
    </row>
    <row r="25" spans="1:7">
      <c r="A25" s="77">
        <f t="shared" si="1"/>
        <v>13</v>
      </c>
      <c r="C25" s="776" t="s">
        <v>936</v>
      </c>
      <c r="D25" s="23" t="s">
        <v>937</v>
      </c>
      <c r="F25" s="773">
        <v>0.1429</v>
      </c>
      <c r="G25" s="774"/>
    </row>
    <row r="26" spans="1:7">
      <c r="A26" s="77">
        <f>+A24+1</f>
        <v>13</v>
      </c>
      <c r="C26" s="772" t="s">
        <v>938</v>
      </c>
      <c r="D26" s="23" t="s">
        <v>939</v>
      </c>
      <c r="F26" s="773">
        <v>0</v>
      </c>
      <c r="G26" s="774"/>
    </row>
    <row r="27" spans="1:7">
      <c r="A27" s="77">
        <f t="shared" si="1"/>
        <v>14</v>
      </c>
      <c r="C27" s="772" t="s">
        <v>940</v>
      </c>
      <c r="D27" s="23" t="s">
        <v>941</v>
      </c>
      <c r="F27" s="773">
        <v>0</v>
      </c>
      <c r="G27" s="774"/>
    </row>
    <row r="28" spans="1:7">
      <c r="A28" s="77">
        <f t="shared" si="1"/>
        <v>15</v>
      </c>
      <c r="C28" s="772" t="s">
        <v>942</v>
      </c>
      <c r="D28" s="23" t="s">
        <v>943</v>
      </c>
      <c r="F28" s="773">
        <v>0</v>
      </c>
      <c r="G28" s="774"/>
    </row>
    <row r="29" spans="1:7">
      <c r="A29" s="77">
        <f t="shared" si="1"/>
        <v>16</v>
      </c>
      <c r="C29" s="772" t="s">
        <v>944</v>
      </c>
      <c r="D29" s="23" t="s">
        <v>945</v>
      </c>
      <c r="F29" s="773">
        <v>0.25</v>
      </c>
      <c r="G29" s="774"/>
    </row>
    <row r="30" spans="1:7">
      <c r="A30" s="77">
        <f t="shared" si="1"/>
        <v>17</v>
      </c>
      <c r="C30" s="772" t="s">
        <v>946</v>
      </c>
      <c r="D30" s="23" t="s">
        <v>947</v>
      </c>
      <c r="F30" s="773">
        <v>2.5000000000000001E-2</v>
      </c>
      <c r="G30" s="774"/>
    </row>
    <row r="31" spans="1:7">
      <c r="F31" s="775"/>
      <c r="G31" s="774"/>
    </row>
    <row r="32" spans="1:7">
      <c r="C32" s="772" t="s">
        <v>948</v>
      </c>
      <c r="F32" s="775"/>
      <c r="G32" s="774"/>
    </row>
    <row r="33" spans="1:7">
      <c r="A33" s="77">
        <v>1</v>
      </c>
      <c r="C33" s="772" t="s">
        <v>949</v>
      </c>
      <c r="D33" s="23" t="s">
        <v>950</v>
      </c>
      <c r="F33" s="775">
        <v>1.8500000000000003E-2</v>
      </c>
      <c r="G33" s="774"/>
    </row>
    <row r="34" spans="1:7">
      <c r="A34" s="77">
        <f>+A33+1</f>
        <v>2</v>
      </c>
      <c r="C34" s="24">
        <v>302</v>
      </c>
      <c r="D34" s="23" t="s">
        <v>951</v>
      </c>
      <c r="F34" s="777">
        <v>1.8500000000000003E-2</v>
      </c>
      <c r="G34" s="774"/>
    </row>
    <row r="35" spans="1:7">
      <c r="A35" s="77">
        <f t="shared" si="1"/>
        <v>3</v>
      </c>
      <c r="C35" s="772" t="s">
        <v>952</v>
      </c>
      <c r="D35" s="23" t="s">
        <v>953</v>
      </c>
      <c r="F35" s="775"/>
      <c r="G35" s="774"/>
    </row>
    <row r="36" spans="1:7">
      <c r="A36" s="77">
        <f t="shared" si="1"/>
        <v>4</v>
      </c>
      <c r="C36" s="772"/>
      <c r="D36" s="23" t="s">
        <v>954</v>
      </c>
      <c r="F36" s="775">
        <v>0.2</v>
      </c>
      <c r="G36" s="774"/>
    </row>
    <row r="37" spans="1:7" ht="15" customHeight="1">
      <c r="A37" s="77">
        <f t="shared" si="1"/>
        <v>5</v>
      </c>
      <c r="C37" s="772"/>
      <c r="D37" s="23" t="s">
        <v>955</v>
      </c>
      <c r="F37" s="775">
        <v>0.14285714285714299</v>
      </c>
      <c r="G37" s="774"/>
    </row>
    <row r="38" spans="1:7" ht="15" customHeight="1">
      <c r="A38" s="77">
        <f t="shared" si="1"/>
        <v>6</v>
      </c>
      <c r="C38" s="772"/>
      <c r="D38" s="23" t="s">
        <v>956</v>
      </c>
      <c r="F38" s="775">
        <v>0.1</v>
      </c>
    </row>
    <row r="39" spans="1:7" ht="15" customHeight="1">
      <c r="A39" s="128"/>
      <c r="D39" s="24" t="s">
        <v>957</v>
      </c>
      <c r="F39" s="778" t="s">
        <v>958</v>
      </c>
    </row>
    <row r="40" spans="1:7" ht="16.5" customHeight="1">
      <c r="A40" s="128"/>
    </row>
    <row r="41" spans="1:7" ht="15.75" customHeight="1">
      <c r="A41" s="128"/>
      <c r="C41" s="962" t="s">
        <v>959</v>
      </c>
      <c r="D41" s="962"/>
      <c r="E41" s="962"/>
      <c r="F41" s="962"/>
    </row>
    <row r="42" spans="1:7" ht="15.75" customHeight="1">
      <c r="A42" s="128"/>
      <c r="C42" s="962"/>
      <c r="D42" s="962"/>
      <c r="E42" s="962"/>
      <c r="F42" s="962"/>
    </row>
    <row r="43" spans="1:7" ht="60.75" customHeight="1">
      <c r="A43" s="128"/>
      <c r="C43" s="962"/>
      <c r="D43" s="962"/>
      <c r="E43" s="962"/>
      <c r="F43" s="962"/>
    </row>
    <row r="44" spans="1:7">
      <c r="A44" s="128"/>
      <c r="C44" s="962"/>
      <c r="D44" s="962"/>
      <c r="E44" s="962"/>
      <c r="F44" s="962"/>
    </row>
    <row r="45" spans="1:7">
      <c r="A45" s="128"/>
    </row>
    <row r="46" spans="1:7">
      <c r="A46" s="128"/>
      <c r="C46" s="23" t="s">
        <v>960</v>
      </c>
    </row>
    <row r="47" spans="1:7">
      <c r="A47" s="128"/>
    </row>
    <row r="48" spans="1:7" s="23" customFormat="1">
      <c r="A48" s="128"/>
      <c r="B48" s="77"/>
    </row>
    <row r="49" spans="1:2" s="23" customFormat="1">
      <c r="A49" s="77"/>
      <c r="B49" s="77"/>
    </row>
    <row r="50" spans="1:2" s="23" customFormat="1">
      <c r="A50" s="77"/>
      <c r="B50" s="77"/>
    </row>
    <row r="51" spans="1:2" s="23" customFormat="1">
      <c r="A51" s="77"/>
      <c r="B51" s="77"/>
    </row>
    <row r="52" spans="1:2" s="23" customFormat="1">
      <c r="A52" s="77"/>
      <c r="B52" s="77"/>
    </row>
    <row r="53" spans="1:2" s="23" customFormat="1">
      <c r="A53" s="77"/>
      <c r="B53" s="77"/>
    </row>
    <row r="54" spans="1:2" s="23" customFormat="1">
      <c r="A54" s="77"/>
      <c r="B54" s="77"/>
    </row>
    <row r="55" spans="1:2" s="23" customFormat="1">
      <c r="A55" s="77"/>
      <c r="B55" s="77"/>
    </row>
    <row r="56" spans="1:2" s="23" customFormat="1">
      <c r="A56" s="77"/>
      <c r="B56" s="77"/>
    </row>
    <row r="57" spans="1:2" s="23" customFormat="1">
      <c r="A57" s="77"/>
      <c r="B57" s="77"/>
    </row>
    <row r="58" spans="1:2" s="23" customFormat="1">
      <c r="A58" s="77"/>
      <c r="B58" s="77"/>
    </row>
    <row r="59" spans="1:2" s="23" customFormat="1">
      <c r="A59" s="77"/>
      <c r="B59" s="77"/>
    </row>
    <row r="60" spans="1:2" s="23" customFormat="1">
      <c r="A60" s="77"/>
      <c r="B60" s="77"/>
    </row>
    <row r="61" spans="1:2" s="23" customFormat="1">
      <c r="A61" s="77"/>
      <c r="B61" s="77"/>
    </row>
    <row r="62" spans="1:2" s="23" customFormat="1">
      <c r="A62" s="77"/>
      <c r="B62" s="77"/>
    </row>
    <row r="63" spans="1:2" s="23" customFormat="1">
      <c r="A63" s="77"/>
      <c r="B63" s="77"/>
    </row>
    <row r="64" spans="1:2" s="23" customFormat="1">
      <c r="A64" s="77"/>
      <c r="B64" s="77"/>
    </row>
    <row r="65" spans="1:2" s="23" customFormat="1">
      <c r="A65" s="77"/>
      <c r="B65" s="77"/>
    </row>
    <row r="66" spans="1:2" s="23" customFormat="1">
      <c r="A66" s="77"/>
      <c r="B66" s="77"/>
    </row>
    <row r="67" spans="1:2" s="23" customFormat="1">
      <c r="A67" s="77"/>
      <c r="B67" s="77"/>
    </row>
    <row r="68" spans="1:2" s="23" customFormat="1">
      <c r="A68" s="77"/>
      <c r="B68" s="77"/>
    </row>
    <row r="69" spans="1:2" s="23" customFormat="1">
      <c r="A69" s="77"/>
      <c r="B69" s="77"/>
    </row>
    <row r="70" spans="1:2" s="23" customFormat="1">
      <c r="A70" s="77"/>
      <c r="B70" s="77"/>
    </row>
    <row r="71" spans="1:2" s="23" customFormat="1">
      <c r="A71" s="77"/>
      <c r="B71" s="77"/>
    </row>
    <row r="72" spans="1:2" s="23" customFormat="1">
      <c r="A72" s="77"/>
      <c r="B72" s="77"/>
    </row>
    <row r="73" spans="1:2" s="23" customFormat="1">
      <c r="A73" s="77"/>
      <c r="B73" s="77"/>
    </row>
    <row r="74" spans="1:2" s="23" customFormat="1">
      <c r="A74" s="77"/>
      <c r="B74" s="77"/>
    </row>
    <row r="75" spans="1:2" s="23" customFormat="1">
      <c r="A75" s="77"/>
      <c r="B75" s="77"/>
    </row>
    <row r="76" spans="1:2" s="23" customFormat="1">
      <c r="A76" s="77"/>
      <c r="B76" s="77"/>
    </row>
    <row r="77" spans="1:2" s="23" customFormat="1">
      <c r="A77" s="77"/>
      <c r="B77" s="77"/>
    </row>
  </sheetData>
  <mergeCells count="4">
    <mergeCell ref="C2:F2"/>
    <mergeCell ref="C3:F3"/>
    <mergeCell ref="C4:F4"/>
    <mergeCell ref="C41:F44"/>
  </mergeCells>
  <pageMargins left="0.7" right="0.7" top="0.75" bottom="0.75" header="0.3" footer="0.3"/>
  <pageSetup scale="71"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74617-52C8-438F-8EEC-859FCF84957E}">
  <sheetPr>
    <pageSetUpPr fitToPage="1"/>
  </sheetPr>
  <dimension ref="A1:I264"/>
  <sheetViews>
    <sheetView view="pageBreakPreview" zoomScaleNormal="100" zoomScaleSheetLayoutView="100" workbookViewId="0">
      <selection activeCell="E187" sqref="E187"/>
    </sheetView>
  </sheetViews>
  <sheetFormatPr defaultColWidth="8.88671875" defaultRowHeight="15.75"/>
  <cols>
    <col min="1" max="1" width="7.21875" style="152" customWidth="1"/>
    <col min="2" max="2" width="57.88671875" style="152" customWidth="1"/>
    <col min="3" max="3" width="28.21875" style="152" customWidth="1"/>
    <col min="4" max="4" width="10.88671875" style="155" bestFit="1" customWidth="1"/>
    <col min="5" max="5" width="9.21875" style="152" bestFit="1" customWidth="1"/>
    <col min="6" max="9" width="8.88671875" style="152"/>
    <col min="10" max="16384" width="8.88671875" style="165"/>
  </cols>
  <sheetData>
    <row r="1" spans="1:7">
      <c r="A1" s="867" t="s">
        <v>229</v>
      </c>
      <c r="B1" s="867"/>
      <c r="C1" s="867"/>
      <c r="D1" s="867"/>
    </row>
    <row r="2" spans="1:7">
      <c r="A2" s="868" t="s">
        <v>230</v>
      </c>
      <c r="B2" s="869"/>
      <c r="C2" s="869"/>
      <c r="D2" s="153"/>
    </row>
    <row r="5" spans="1:7">
      <c r="B5" s="154" t="s">
        <v>231</v>
      </c>
      <c r="C5" s="152" t="s">
        <v>232</v>
      </c>
    </row>
    <row r="6" spans="1:7">
      <c r="A6" s="152">
        <v>1</v>
      </c>
      <c r="B6" s="152" t="s">
        <v>233</v>
      </c>
      <c r="C6" s="152" t="s">
        <v>234</v>
      </c>
      <c r="D6" s="156">
        <f>+C46</f>
        <v>0</v>
      </c>
    </row>
    <row r="7" spans="1:7">
      <c r="D7" s="157"/>
    </row>
    <row r="8" spans="1:7">
      <c r="B8" s="154" t="s">
        <v>235</v>
      </c>
      <c r="C8" s="152" t="s">
        <v>232</v>
      </c>
      <c r="G8" s="155"/>
    </row>
    <row r="9" spans="1:7">
      <c r="A9" s="158">
        <f>+A6+1</f>
        <v>2</v>
      </c>
      <c r="B9" s="152" t="s">
        <v>236</v>
      </c>
      <c r="C9" s="152" t="s">
        <v>237</v>
      </c>
      <c r="D9" s="159"/>
      <c r="E9" s="160"/>
      <c r="G9" s="155"/>
    </row>
    <row r="10" spans="1:7">
      <c r="A10" s="158">
        <v>3</v>
      </c>
      <c r="B10" s="152" t="s">
        <v>238</v>
      </c>
      <c r="C10" s="152" t="s">
        <v>237</v>
      </c>
      <c r="D10" s="159">
        <v>0</v>
      </c>
      <c r="G10" s="155"/>
    </row>
    <row r="11" spans="1:7">
      <c r="A11" s="158">
        <v>4</v>
      </c>
      <c r="B11" s="152" t="s">
        <v>239</v>
      </c>
      <c r="C11" s="152" t="s">
        <v>237</v>
      </c>
      <c r="D11" s="159">
        <v>0</v>
      </c>
      <c r="G11" s="156"/>
    </row>
    <row r="12" spans="1:7">
      <c r="A12" s="158">
        <f>+A11+1</f>
        <v>5</v>
      </c>
      <c r="B12" s="152" t="s">
        <v>240</v>
      </c>
      <c r="C12" s="152" t="s">
        <v>237</v>
      </c>
      <c r="D12" s="159">
        <v>0</v>
      </c>
    </row>
    <row r="13" spans="1:7">
      <c r="A13" s="158">
        <f>+A12+1</f>
        <v>6</v>
      </c>
      <c r="B13" s="152" t="s">
        <v>241</v>
      </c>
      <c r="C13" s="152" t="s">
        <v>237</v>
      </c>
      <c r="D13" s="161">
        <v>0</v>
      </c>
    </row>
    <row r="14" spans="1:7">
      <c r="D14" s="162"/>
    </row>
    <row r="15" spans="1:7">
      <c r="A15" s="152">
        <f>+A13+1</f>
        <v>7</v>
      </c>
      <c r="B15" s="152" t="s">
        <v>242</v>
      </c>
      <c r="C15" s="152" t="str">
        <f>"Sum lines "&amp;A9&amp;"-"&amp;A13&amp;" + line "&amp;A6&amp;""</f>
        <v>Sum lines 2-6 + line 1</v>
      </c>
      <c r="D15" s="156">
        <f>SUM(D9:D14)+D6</f>
        <v>0</v>
      </c>
    </row>
    <row r="16" spans="1:7">
      <c r="D16" s="156"/>
    </row>
    <row r="17" spans="1:9">
      <c r="D17" s="163"/>
      <c r="E17" s="164"/>
    </row>
    <row r="18" spans="1:9" s="168" customFormat="1">
      <c r="A18" s="152"/>
      <c r="B18" s="152"/>
      <c r="C18" s="152"/>
      <c r="D18" s="166"/>
      <c r="E18" s="162"/>
      <c r="F18" s="167"/>
      <c r="G18" s="167"/>
      <c r="H18" s="167"/>
      <c r="I18" s="167"/>
    </row>
    <row r="19" spans="1:9" ht="87" customHeight="1">
      <c r="A19" s="158" t="s">
        <v>243</v>
      </c>
      <c r="B19" s="870" t="s">
        <v>244</v>
      </c>
      <c r="C19" s="870"/>
      <c r="D19" s="870"/>
      <c r="E19" s="870"/>
      <c r="F19" s="870"/>
    </row>
    <row r="20" spans="1:9" ht="38.25" customHeight="1">
      <c r="A20" s="158" t="s">
        <v>245</v>
      </c>
      <c r="B20" s="870" t="s">
        <v>246</v>
      </c>
      <c r="C20" s="870"/>
      <c r="D20" s="870"/>
      <c r="E20" s="870"/>
      <c r="F20" s="870"/>
    </row>
    <row r="21" spans="1:9">
      <c r="A21" s="158" t="s">
        <v>237</v>
      </c>
      <c r="B21" s="158" t="s">
        <v>247</v>
      </c>
      <c r="C21" s="158"/>
      <c r="D21" s="169"/>
      <c r="E21" s="158"/>
      <c r="F21" s="158"/>
    </row>
    <row r="22" spans="1:9">
      <c r="A22" s="23"/>
      <c r="B22" s="23"/>
      <c r="C22" s="23"/>
      <c r="D22" s="23"/>
      <c r="E22" s="23"/>
      <c r="F22" s="23"/>
      <c r="G22" s="23"/>
      <c r="H22" s="23"/>
    </row>
    <row r="23" spans="1:9">
      <c r="A23" s="170" t="s">
        <v>248</v>
      </c>
      <c r="B23" s="23"/>
      <c r="C23" s="23"/>
      <c r="D23" s="23"/>
      <c r="E23" s="23"/>
      <c r="F23" s="171"/>
      <c r="G23" s="171"/>
      <c r="H23" s="171"/>
    </row>
    <row r="24" spans="1:9">
      <c r="A24" s="146">
        <v>1</v>
      </c>
      <c r="B24" s="152" t="s">
        <v>249</v>
      </c>
      <c r="C24" s="172" t="s">
        <v>250</v>
      </c>
      <c r="D24" s="172" t="s">
        <v>251</v>
      </c>
      <c r="E24" s="172" t="s">
        <v>252</v>
      </c>
      <c r="F24" s="172" t="s">
        <v>253</v>
      </c>
    </row>
    <row r="25" spans="1:9">
      <c r="A25" s="146" t="s">
        <v>254</v>
      </c>
      <c r="B25" s="173" t="s">
        <v>255</v>
      </c>
      <c r="C25" s="174">
        <f>SUM(D25:F25)</f>
        <v>0</v>
      </c>
      <c r="D25" s="175">
        <v>0</v>
      </c>
      <c r="E25" s="175">
        <v>0</v>
      </c>
      <c r="F25" s="175">
        <v>0</v>
      </c>
    </row>
    <row r="26" spans="1:9">
      <c r="A26" s="146" t="s">
        <v>256</v>
      </c>
      <c r="B26" s="176" t="s">
        <v>257</v>
      </c>
      <c r="C26" s="174"/>
      <c r="D26" s="175"/>
      <c r="E26" s="175"/>
      <c r="F26" s="175"/>
    </row>
    <row r="27" spans="1:9">
      <c r="A27" s="146" t="s">
        <v>258</v>
      </c>
      <c r="B27" s="173" t="s">
        <v>259</v>
      </c>
      <c r="C27" s="174">
        <f>SUM(D27:F27)</f>
        <v>0</v>
      </c>
      <c r="D27" s="175">
        <v>0</v>
      </c>
      <c r="E27" s="175">
        <v>0</v>
      </c>
      <c r="F27" s="175">
        <v>0</v>
      </c>
    </row>
    <row r="28" spans="1:9">
      <c r="A28" s="146">
        <v>2</v>
      </c>
      <c r="B28" s="173" t="s">
        <v>260</v>
      </c>
      <c r="C28" s="177">
        <f>SUM(D28:F28)</f>
        <v>0</v>
      </c>
      <c r="D28" s="175">
        <v>0</v>
      </c>
      <c r="E28" s="175">
        <v>0</v>
      </c>
      <c r="F28" s="175">
        <v>0</v>
      </c>
    </row>
    <row r="29" spans="1:9">
      <c r="A29" s="146">
        <v>3</v>
      </c>
      <c r="B29" s="152" t="s">
        <v>261</v>
      </c>
      <c r="C29" s="178">
        <f>SUM(C25:C28)</f>
        <v>0</v>
      </c>
      <c r="D29" s="178">
        <f>SUM(D25:D28)</f>
        <v>0</v>
      </c>
      <c r="E29" s="178">
        <f>SUM(E25:E28)</f>
        <v>0</v>
      </c>
      <c r="F29" s="178">
        <f>SUM(F25:F28)</f>
        <v>0</v>
      </c>
    </row>
    <row r="30" spans="1:9">
      <c r="A30" s="146">
        <v>4</v>
      </c>
      <c r="B30" s="173" t="s">
        <v>262</v>
      </c>
      <c r="C30" s="173"/>
      <c r="D30" s="173"/>
      <c r="E30" s="173"/>
      <c r="F30" s="173"/>
    </row>
    <row r="31" spans="1:9">
      <c r="A31" s="146">
        <v>5</v>
      </c>
      <c r="B31" s="173" t="s">
        <v>263</v>
      </c>
      <c r="C31" s="179">
        <f>SUM(D31:F31)</f>
        <v>0</v>
      </c>
      <c r="D31" s="180">
        <v>0</v>
      </c>
      <c r="E31" s="180">
        <v>0</v>
      </c>
      <c r="F31" s="180">
        <v>0</v>
      </c>
    </row>
    <row r="32" spans="1:9">
      <c r="A32" s="146">
        <v>6</v>
      </c>
      <c r="B32" s="173" t="s">
        <v>264</v>
      </c>
      <c r="C32" s="181">
        <f>SUM(D32:F32)</f>
        <v>0</v>
      </c>
      <c r="D32" s="180">
        <v>0</v>
      </c>
      <c r="E32" s="180">
        <v>0</v>
      </c>
      <c r="F32" s="180">
        <v>0</v>
      </c>
    </row>
    <row r="33" spans="1:6">
      <c r="A33" s="146">
        <v>7</v>
      </c>
      <c r="B33" s="182" t="s">
        <v>265</v>
      </c>
      <c r="C33" s="181">
        <f>+C29-C31-C32</f>
        <v>0</v>
      </c>
      <c r="D33" s="181">
        <f>+D29-D31-D32</f>
        <v>0</v>
      </c>
      <c r="E33" s="181">
        <f>+E29-E31-E32</f>
        <v>0</v>
      </c>
      <c r="F33" s="181">
        <f>+F29-F31-F32</f>
        <v>0</v>
      </c>
    </row>
    <row r="34" spans="1:6">
      <c r="A34" s="146">
        <v>8</v>
      </c>
      <c r="B34" s="173" t="s">
        <v>266</v>
      </c>
      <c r="C34" s="180">
        <v>0</v>
      </c>
      <c r="D34" s="180">
        <v>0</v>
      </c>
      <c r="E34" s="180">
        <v>0</v>
      </c>
      <c r="F34" s="180">
        <v>0</v>
      </c>
    </row>
    <row r="35" spans="1:6">
      <c r="A35" s="164">
        <v>9</v>
      </c>
      <c r="B35" s="152" t="s">
        <v>267</v>
      </c>
      <c r="C35" s="183">
        <f>SUM(C33:C34)</f>
        <v>0</v>
      </c>
    </row>
    <row r="36" spans="1:6">
      <c r="A36" s="164"/>
    </row>
    <row r="37" spans="1:6">
      <c r="A37" s="164">
        <v>10</v>
      </c>
      <c r="B37" s="152" t="s">
        <v>268</v>
      </c>
      <c r="C37" s="184" t="s">
        <v>156</v>
      </c>
      <c r="D37" s="152"/>
    </row>
    <row r="38" spans="1:6">
      <c r="A38" s="164" t="s">
        <v>269</v>
      </c>
      <c r="B38" s="152" t="s">
        <v>270</v>
      </c>
      <c r="C38" s="159">
        <v>0</v>
      </c>
      <c r="D38" s="152"/>
    </row>
    <row r="39" spans="1:6">
      <c r="A39" s="164" t="s">
        <v>271</v>
      </c>
      <c r="B39" s="152" t="s">
        <v>272</v>
      </c>
      <c r="C39" s="159">
        <v>0</v>
      </c>
      <c r="D39" s="152"/>
    </row>
    <row r="40" spans="1:6">
      <c r="A40" s="164" t="s">
        <v>273</v>
      </c>
      <c r="B40" s="152" t="s">
        <v>274</v>
      </c>
      <c r="C40" s="159">
        <v>0</v>
      </c>
      <c r="D40" s="152"/>
    </row>
    <row r="41" spans="1:6">
      <c r="A41" s="164" t="s">
        <v>275</v>
      </c>
      <c r="B41" s="152" t="s">
        <v>276</v>
      </c>
      <c r="C41" s="159">
        <v>0</v>
      </c>
      <c r="D41" s="152"/>
    </row>
    <row r="42" spans="1:6">
      <c r="A42" s="164" t="s">
        <v>277</v>
      </c>
      <c r="B42" s="152" t="s">
        <v>278</v>
      </c>
      <c r="C42" s="159">
        <v>0</v>
      </c>
      <c r="D42" s="152"/>
    </row>
    <row r="43" spans="1:6">
      <c r="A43" s="164" t="s">
        <v>279</v>
      </c>
      <c r="B43" s="152" t="s">
        <v>280</v>
      </c>
      <c r="C43" s="159">
        <v>0</v>
      </c>
      <c r="D43" s="152"/>
    </row>
    <row r="44" spans="1:6">
      <c r="A44" s="164" t="s">
        <v>281</v>
      </c>
      <c r="B44" s="152" t="s">
        <v>282</v>
      </c>
      <c r="C44" s="159">
        <v>0</v>
      </c>
      <c r="D44" s="152"/>
    </row>
    <row r="45" spans="1:6">
      <c r="A45" s="164" t="s">
        <v>283</v>
      </c>
      <c r="B45" s="185" t="s">
        <v>257</v>
      </c>
      <c r="C45" s="159">
        <v>0</v>
      </c>
      <c r="D45" s="152"/>
    </row>
    <row r="46" spans="1:6">
      <c r="A46" s="164">
        <v>11</v>
      </c>
      <c r="B46" s="152" t="s">
        <v>284</v>
      </c>
      <c r="C46" s="186">
        <f>SUM(C38:C45)</f>
        <v>0</v>
      </c>
      <c r="D46" s="152"/>
    </row>
    <row r="48" spans="1:6" ht="99" customHeight="1">
      <c r="A48" s="158"/>
      <c r="B48" s="866"/>
      <c r="C48" s="866"/>
      <c r="D48" s="866"/>
      <c r="E48" s="866"/>
      <c r="F48" s="866"/>
    </row>
    <row r="123" spans="4:4">
      <c r="D123" s="156"/>
    </row>
    <row r="229" spans="8:8">
      <c r="H229" s="187"/>
    </row>
    <row r="243" ht="99.75" customHeight="1"/>
    <row r="264" ht="40.5" customHeight="1"/>
  </sheetData>
  <mergeCells count="5">
    <mergeCell ref="A1:D1"/>
    <mergeCell ref="A2:C2"/>
    <mergeCell ref="B19:F19"/>
    <mergeCell ref="B20:F20"/>
    <mergeCell ref="B48:F48"/>
  </mergeCells>
  <pageMargins left="0.75" right="0.75" top="1.28" bottom="1" header="0.5" footer="0.5"/>
  <pageSetup scale="53" orientation="portrait" r:id="rId1"/>
  <headerFooter alignWithMargins="0"/>
  <rowBreaks count="1" manualBreakCount="1">
    <brk id="65" max="3" man="1"/>
  </row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9D0E8-A362-4F49-BD78-F4295857E8EA}">
  <sheetPr>
    <pageSetUpPr fitToPage="1"/>
  </sheetPr>
  <dimension ref="A1:R30"/>
  <sheetViews>
    <sheetView view="pageBreakPreview" zoomScaleNormal="100" zoomScaleSheetLayoutView="100" workbookViewId="0">
      <selection activeCell="E187" sqref="E187"/>
    </sheetView>
  </sheetViews>
  <sheetFormatPr defaultColWidth="7" defaultRowHeight="15.75"/>
  <cols>
    <col min="1" max="1" width="3.88671875" style="723" customWidth="1"/>
    <col min="2" max="2" width="9.44140625" style="762" customWidth="1"/>
    <col min="3" max="3" width="25" style="762" customWidth="1"/>
    <col min="4" max="4" width="34" style="762" customWidth="1"/>
    <col min="5" max="5" width="9.44140625" style="755" customWidth="1"/>
    <col min="6" max="6" width="12.21875" style="762" customWidth="1"/>
    <col min="7" max="7" width="9.109375" style="755" customWidth="1"/>
    <col min="8" max="18" width="8.21875" style="755" bestFit="1" customWidth="1"/>
    <col min="19" max="16384" width="7" style="687"/>
  </cols>
  <sheetData>
    <row r="1" spans="1:18" customFormat="1">
      <c r="A1" s="862" t="s">
        <v>961</v>
      </c>
      <c r="B1" s="862"/>
      <c r="C1" s="862"/>
      <c r="D1" s="862"/>
      <c r="E1" s="862"/>
      <c r="F1" s="862" t="str">
        <f>+A1</f>
        <v>Attachment 10 - Land Held for Future Use</v>
      </c>
      <c r="G1" s="862"/>
      <c r="H1" s="862"/>
      <c r="I1" s="862"/>
      <c r="J1" s="862"/>
      <c r="K1" s="862"/>
      <c r="L1" s="862"/>
      <c r="M1" s="862"/>
      <c r="N1" s="862"/>
      <c r="O1" s="862"/>
      <c r="P1" s="862"/>
      <c r="Q1" s="862"/>
      <c r="R1" s="862"/>
    </row>
    <row r="2" spans="1:18" customFormat="1">
      <c r="A2" s="956"/>
      <c r="B2" s="956"/>
      <c r="C2" s="956"/>
      <c r="D2" s="956"/>
      <c r="E2" s="956"/>
      <c r="F2" s="956"/>
      <c r="G2" s="956"/>
      <c r="H2" s="956"/>
      <c r="I2" s="956"/>
      <c r="J2" s="956"/>
      <c r="K2" s="956"/>
      <c r="L2" s="956"/>
      <c r="M2" s="956"/>
      <c r="N2" s="956"/>
      <c r="O2" s="956"/>
      <c r="P2" s="956"/>
      <c r="Q2" s="956"/>
      <c r="R2" s="956"/>
    </row>
    <row r="3" spans="1:18" customFormat="1">
      <c r="A3" s="936" t="s">
        <v>6</v>
      </c>
      <c r="B3" s="940"/>
      <c r="C3" s="940"/>
      <c r="D3" s="940"/>
      <c r="E3" s="940"/>
      <c r="F3" s="936" t="s">
        <v>6</v>
      </c>
      <c r="G3" s="940"/>
      <c r="H3" s="940"/>
      <c r="I3" s="940"/>
      <c r="J3" s="940"/>
      <c r="K3" s="940"/>
      <c r="L3" s="940"/>
      <c r="M3" s="940"/>
      <c r="N3" s="940"/>
      <c r="O3" s="940"/>
      <c r="P3" s="940"/>
      <c r="Q3" s="940"/>
      <c r="R3" s="940"/>
    </row>
    <row r="5" spans="1:18" s="690" customFormat="1">
      <c r="A5" s="759"/>
      <c r="B5" s="779" t="s">
        <v>173</v>
      </c>
      <c r="C5" s="780" t="s">
        <v>367</v>
      </c>
      <c r="D5" s="781" t="s">
        <v>853</v>
      </c>
      <c r="E5" s="781" t="s">
        <v>710</v>
      </c>
      <c r="F5" s="781" t="s">
        <v>854</v>
      </c>
      <c r="G5" s="781" t="s">
        <v>712</v>
      </c>
      <c r="H5" s="781" t="s">
        <v>713</v>
      </c>
      <c r="I5" s="781" t="s">
        <v>779</v>
      </c>
      <c r="J5" s="781" t="s">
        <v>780</v>
      </c>
      <c r="K5" s="781" t="s">
        <v>781</v>
      </c>
      <c r="L5" s="781" t="s">
        <v>782</v>
      </c>
      <c r="M5" s="781" t="s">
        <v>832</v>
      </c>
      <c r="N5" s="781" t="s">
        <v>833</v>
      </c>
      <c r="O5" s="781" t="s">
        <v>855</v>
      </c>
      <c r="P5" s="781" t="s">
        <v>856</v>
      </c>
      <c r="Q5" s="780" t="s">
        <v>857</v>
      </c>
      <c r="R5" s="759" t="s">
        <v>858</v>
      </c>
    </row>
    <row r="6" spans="1:18" s="696" customFormat="1" ht="33.75" customHeight="1">
      <c r="A6" s="964" t="s">
        <v>43</v>
      </c>
      <c r="B6" s="964" t="s">
        <v>962</v>
      </c>
      <c r="C6" s="965" t="s">
        <v>963</v>
      </c>
      <c r="D6" s="965" t="s">
        <v>964</v>
      </c>
      <c r="E6" s="964" t="s">
        <v>965</v>
      </c>
      <c r="F6" s="782" t="s">
        <v>863</v>
      </c>
      <c r="G6" s="783" t="s">
        <v>864</v>
      </c>
      <c r="H6" s="783" t="s">
        <v>865</v>
      </c>
      <c r="I6" s="783" t="s">
        <v>866</v>
      </c>
      <c r="J6" s="783" t="s">
        <v>867</v>
      </c>
      <c r="K6" s="783" t="s">
        <v>868</v>
      </c>
      <c r="L6" s="783" t="s">
        <v>869</v>
      </c>
      <c r="M6" s="783" t="s">
        <v>870</v>
      </c>
      <c r="N6" s="783" t="s">
        <v>871</v>
      </c>
      <c r="O6" s="783" t="s">
        <v>872</v>
      </c>
      <c r="P6" s="783" t="s">
        <v>873</v>
      </c>
      <c r="Q6" s="783" t="s">
        <v>874</v>
      </c>
      <c r="R6" s="783" t="s">
        <v>863</v>
      </c>
    </row>
    <row r="7" spans="1:18" s="696" customFormat="1">
      <c r="A7" s="964"/>
      <c r="B7" s="964"/>
      <c r="C7" s="966"/>
      <c r="D7" s="966"/>
      <c r="E7" s="964"/>
      <c r="F7" s="784">
        <v>2024</v>
      </c>
      <c r="G7" s="784">
        <v>2025</v>
      </c>
      <c r="H7" s="784">
        <v>2025</v>
      </c>
      <c r="I7" s="784">
        <v>2025</v>
      </c>
      <c r="J7" s="784">
        <v>2025</v>
      </c>
      <c r="K7" s="784">
        <v>2025</v>
      </c>
      <c r="L7" s="784">
        <v>2025</v>
      </c>
      <c r="M7" s="784">
        <v>2025</v>
      </c>
      <c r="N7" s="784">
        <v>2025</v>
      </c>
      <c r="O7" s="784">
        <v>2025</v>
      </c>
      <c r="P7" s="784">
        <v>2025</v>
      </c>
      <c r="Q7" s="784">
        <v>2025</v>
      </c>
      <c r="R7" s="784">
        <v>2025</v>
      </c>
    </row>
    <row r="8" spans="1:18" ht="28.7" customHeight="1">
      <c r="A8" s="723" t="s">
        <v>254</v>
      </c>
      <c r="B8" s="785"/>
      <c r="C8" s="786" t="s">
        <v>966</v>
      </c>
      <c r="D8" s="787" t="s">
        <v>967</v>
      </c>
      <c r="E8" s="739">
        <f>IFERROR(SUM(F8:R8)/13,0)</f>
        <v>2036137.7800000003</v>
      </c>
      <c r="F8" s="788">
        <v>2036137.78</v>
      </c>
      <c r="G8" s="788">
        <v>2036137.78</v>
      </c>
      <c r="H8" s="788">
        <v>2036137.78</v>
      </c>
      <c r="I8" s="788">
        <v>2036137.78</v>
      </c>
      <c r="J8" s="788">
        <v>2036137.78</v>
      </c>
      <c r="K8" s="788">
        <v>2036137.78</v>
      </c>
      <c r="L8" s="788">
        <v>2036137.78</v>
      </c>
      <c r="M8" s="788">
        <v>2036137.78</v>
      </c>
      <c r="N8" s="788">
        <v>2036137.78</v>
      </c>
      <c r="O8" s="788">
        <v>2036137.78</v>
      </c>
      <c r="P8" s="788">
        <v>2036137.78</v>
      </c>
      <c r="Q8" s="788">
        <v>2036137.78</v>
      </c>
      <c r="R8" s="788">
        <v>2036137.78</v>
      </c>
    </row>
    <row r="9" spans="1:18">
      <c r="A9" s="723" t="s">
        <v>880</v>
      </c>
      <c r="B9" s="789"/>
      <c r="C9" s="738"/>
      <c r="D9" s="738"/>
      <c r="E9" s="746">
        <f t="shared" ref="E9:E17" si="0">IFERROR(SUM(F9:R9)/13,0)</f>
        <v>0</v>
      </c>
      <c r="F9" s="738"/>
      <c r="G9" s="738"/>
      <c r="H9" s="738"/>
      <c r="I9" s="738"/>
      <c r="J9" s="738"/>
      <c r="K9" s="738"/>
      <c r="L9" s="738"/>
      <c r="M9" s="738"/>
      <c r="N9" s="738"/>
      <c r="O9" s="738"/>
      <c r="P9" s="738"/>
      <c r="Q9" s="738"/>
      <c r="R9" s="738"/>
    </row>
    <row r="10" spans="1:18">
      <c r="A10" s="723" t="s">
        <v>881</v>
      </c>
      <c r="B10" s="789"/>
      <c r="C10" s="738"/>
      <c r="D10" s="738"/>
      <c r="E10" s="746">
        <f t="shared" si="0"/>
        <v>0</v>
      </c>
      <c r="F10" s="738"/>
      <c r="G10" s="738"/>
      <c r="H10" s="738"/>
      <c r="I10" s="738"/>
      <c r="J10" s="738"/>
      <c r="K10" s="738"/>
      <c r="L10" s="738"/>
      <c r="M10" s="738"/>
      <c r="N10" s="738"/>
      <c r="O10" s="738"/>
      <c r="P10" s="738"/>
      <c r="Q10" s="738"/>
      <c r="R10" s="738"/>
    </row>
    <row r="11" spans="1:18">
      <c r="A11" s="723" t="s">
        <v>256</v>
      </c>
      <c r="B11" s="789"/>
      <c r="C11" s="738"/>
      <c r="D11" s="738"/>
      <c r="E11" s="746">
        <f t="shared" si="0"/>
        <v>0</v>
      </c>
      <c r="F11" s="738"/>
      <c r="G11" s="738"/>
      <c r="H11" s="738"/>
      <c r="I11" s="738"/>
      <c r="J11" s="738"/>
      <c r="K11" s="738"/>
      <c r="L11" s="738"/>
      <c r="M11" s="738"/>
      <c r="N11" s="738"/>
      <c r="O11" s="738"/>
      <c r="P11" s="738"/>
      <c r="Q11" s="738"/>
      <c r="R11" s="738"/>
    </row>
    <row r="12" spans="1:18">
      <c r="A12" s="723" t="s">
        <v>256</v>
      </c>
      <c r="B12" s="789"/>
      <c r="C12" s="738"/>
      <c r="D12" s="738"/>
      <c r="E12" s="746">
        <f t="shared" si="0"/>
        <v>0</v>
      </c>
      <c r="F12" s="738"/>
      <c r="G12" s="738"/>
      <c r="H12" s="738"/>
      <c r="I12" s="738"/>
      <c r="J12" s="738"/>
      <c r="K12" s="738"/>
      <c r="L12" s="738"/>
      <c r="M12" s="738"/>
      <c r="N12" s="738"/>
      <c r="O12" s="738"/>
      <c r="P12" s="738"/>
      <c r="Q12" s="738"/>
      <c r="R12" s="738"/>
    </row>
    <row r="13" spans="1:18">
      <c r="A13" s="723" t="s">
        <v>256</v>
      </c>
      <c r="B13" s="789"/>
      <c r="C13" s="738"/>
      <c r="D13" s="738"/>
      <c r="E13" s="746">
        <f t="shared" si="0"/>
        <v>0</v>
      </c>
      <c r="F13" s="738"/>
      <c r="G13" s="738"/>
      <c r="H13" s="738"/>
      <c r="I13" s="738"/>
      <c r="J13" s="738"/>
      <c r="K13" s="738"/>
      <c r="L13" s="738"/>
      <c r="M13" s="738"/>
      <c r="N13" s="738"/>
      <c r="O13" s="738"/>
      <c r="P13" s="738"/>
      <c r="Q13" s="738"/>
      <c r="R13" s="738"/>
    </row>
    <row r="14" spans="1:18">
      <c r="A14" s="723" t="s">
        <v>256</v>
      </c>
      <c r="B14" s="789"/>
      <c r="C14" s="738"/>
      <c r="D14" s="738"/>
      <c r="E14" s="746">
        <f t="shared" si="0"/>
        <v>0</v>
      </c>
      <c r="F14" s="738"/>
      <c r="G14" s="738"/>
      <c r="H14" s="738"/>
      <c r="I14" s="738"/>
      <c r="J14" s="738"/>
      <c r="K14" s="738"/>
      <c r="L14" s="738"/>
      <c r="M14" s="738"/>
      <c r="N14" s="738"/>
      <c r="O14" s="738"/>
      <c r="P14" s="738"/>
      <c r="Q14" s="738"/>
      <c r="R14" s="738"/>
    </row>
    <row r="15" spans="1:18">
      <c r="A15" s="723" t="s">
        <v>256</v>
      </c>
      <c r="B15" s="789"/>
      <c r="C15" s="738"/>
      <c r="D15" s="738"/>
      <c r="E15" s="746">
        <f t="shared" si="0"/>
        <v>0</v>
      </c>
      <c r="F15" s="738"/>
      <c r="G15" s="738"/>
      <c r="H15" s="738"/>
      <c r="I15" s="738"/>
      <c r="J15" s="738"/>
      <c r="K15" s="738"/>
      <c r="L15" s="738"/>
      <c r="M15" s="738"/>
      <c r="N15" s="738"/>
      <c r="O15" s="738"/>
      <c r="P15" s="738"/>
      <c r="Q15" s="738"/>
      <c r="R15" s="738"/>
    </row>
    <row r="16" spans="1:18">
      <c r="A16" s="723" t="s">
        <v>256</v>
      </c>
      <c r="B16" s="789"/>
      <c r="C16" s="738"/>
      <c r="D16" s="738"/>
      <c r="E16" s="746">
        <f t="shared" si="0"/>
        <v>0</v>
      </c>
      <c r="F16" s="738"/>
      <c r="G16" s="738"/>
      <c r="H16" s="738"/>
      <c r="I16" s="738"/>
      <c r="J16" s="738"/>
      <c r="K16" s="738"/>
      <c r="L16" s="738"/>
      <c r="M16" s="738"/>
      <c r="N16" s="738"/>
      <c r="O16" s="738"/>
      <c r="P16" s="738"/>
      <c r="Q16" s="738"/>
      <c r="R16" s="738"/>
    </row>
    <row r="17" spans="1:18">
      <c r="A17" s="723" t="s">
        <v>258</v>
      </c>
      <c r="B17" s="789"/>
      <c r="C17" s="738"/>
      <c r="D17" s="738"/>
      <c r="E17" s="790">
        <f t="shared" si="0"/>
        <v>0</v>
      </c>
      <c r="F17" s="738"/>
      <c r="G17" s="738"/>
      <c r="H17" s="738"/>
      <c r="I17" s="738"/>
      <c r="J17" s="738"/>
      <c r="K17" s="738"/>
      <c r="L17" s="738"/>
      <c r="M17" s="738"/>
      <c r="N17" s="738"/>
      <c r="O17" s="791"/>
      <c r="P17" s="791"/>
      <c r="Q17" s="791"/>
      <c r="R17" s="791"/>
    </row>
    <row r="18" spans="1:18">
      <c r="A18" s="723">
        <v>2</v>
      </c>
      <c r="C18" s="792"/>
      <c r="D18" s="792" t="s">
        <v>968</v>
      </c>
      <c r="E18" s="793">
        <f>SUM(E8:E17)</f>
        <v>2036137.7800000003</v>
      </c>
      <c r="F18" s="794"/>
      <c r="G18" s="794"/>
      <c r="H18" s="794"/>
      <c r="I18" s="794"/>
      <c r="J18" s="794"/>
      <c r="K18" s="794"/>
      <c r="L18" s="794"/>
      <c r="M18" s="794"/>
      <c r="N18" s="723"/>
      <c r="O18" s="723"/>
      <c r="P18" s="723"/>
      <c r="Q18" s="723"/>
      <c r="R18" s="723"/>
    </row>
    <row r="19" spans="1:18">
      <c r="E19" s="794"/>
      <c r="F19" s="754" t="s">
        <v>969</v>
      </c>
      <c r="G19" s="754"/>
      <c r="H19" s="754"/>
      <c r="I19" s="754"/>
      <c r="J19" s="754"/>
      <c r="K19" s="754"/>
      <c r="L19" s="794"/>
      <c r="M19" s="794"/>
      <c r="N19" s="794"/>
      <c r="O19" s="794"/>
      <c r="P19" s="794"/>
      <c r="Q19" s="794"/>
      <c r="R19" s="794"/>
    </row>
    <row r="20" spans="1:18">
      <c r="B20" s="763"/>
      <c r="C20" s="795"/>
      <c r="D20" s="795"/>
      <c r="F20" s="795"/>
      <c r="G20" s="796" t="s">
        <v>970</v>
      </c>
    </row>
    <row r="21" spans="1:18">
      <c r="C21" s="795"/>
      <c r="D21" s="795"/>
      <c r="E21" s="723"/>
      <c r="F21" s="795"/>
      <c r="G21" s="795"/>
      <c r="R21" s="723"/>
    </row>
    <row r="22" spans="1:18" ht="12" customHeight="1">
      <c r="C22" s="795"/>
      <c r="D22" s="795"/>
      <c r="E22" s="723"/>
      <c r="F22" s="795"/>
      <c r="M22" s="797"/>
      <c r="R22" s="723"/>
    </row>
    <row r="23" spans="1:18" ht="12" customHeight="1">
      <c r="C23" s="795"/>
      <c r="D23" s="795"/>
      <c r="E23" s="723"/>
      <c r="F23" s="795"/>
      <c r="R23" s="723"/>
    </row>
    <row r="24" spans="1:18" ht="11.25" customHeight="1">
      <c r="A24" s="763"/>
      <c r="C24" s="795"/>
      <c r="D24" s="795"/>
      <c r="E24" s="723"/>
      <c r="F24" s="795"/>
      <c r="M24" s="798"/>
      <c r="R24" s="723"/>
    </row>
    <row r="25" spans="1:18" ht="11.25" customHeight="1">
      <c r="A25" s="763"/>
      <c r="B25" s="763"/>
      <c r="C25" s="963"/>
      <c r="D25" s="963"/>
      <c r="E25" s="723"/>
      <c r="M25" s="799"/>
      <c r="R25" s="723"/>
    </row>
    <row r="26" spans="1:18" ht="11.25" customHeight="1">
      <c r="A26" s="762"/>
      <c r="B26" s="763"/>
      <c r="E26" s="723"/>
      <c r="M26" s="799"/>
      <c r="R26" s="723"/>
    </row>
    <row r="27" spans="1:18">
      <c r="A27" s="762"/>
      <c r="E27" s="723"/>
      <c r="R27" s="723"/>
    </row>
    <row r="28" spans="1:18">
      <c r="A28" s="762"/>
      <c r="E28" s="723"/>
      <c r="R28" s="723"/>
    </row>
    <row r="29" spans="1:18">
      <c r="A29" s="762"/>
      <c r="E29" s="723"/>
      <c r="R29" s="723"/>
    </row>
    <row r="30" spans="1:18">
      <c r="A30" s="762"/>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3" orientation="landscape" r:id="rId1"/>
  <headerFooter>
    <oddFooter>&amp;RPage &amp;P of &amp;N</oddFooter>
  </headerFooter>
  <colBreaks count="1" manualBreakCount="1">
    <brk id="5" max="1048575" man="1"/>
  </colBreaks>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8088B-2200-4E95-96F4-7942BB2F40A3}">
  <sheetPr>
    <pageSetUpPr fitToPage="1"/>
  </sheetPr>
  <dimension ref="A1:AP32"/>
  <sheetViews>
    <sheetView view="pageBreakPreview" zoomScale="80" zoomScaleNormal="100" zoomScaleSheetLayoutView="80" workbookViewId="0">
      <selection activeCell="E187" sqref="E187"/>
    </sheetView>
  </sheetViews>
  <sheetFormatPr defaultColWidth="7.109375" defaultRowHeight="11.25"/>
  <cols>
    <col min="1" max="2" width="2.5546875" style="687" customWidth="1"/>
    <col min="3" max="3" width="24" style="687" customWidth="1"/>
    <col min="4" max="4" width="9.44140625" style="715" customWidth="1"/>
    <col min="5" max="5" width="1.21875" style="836" customWidth="1"/>
    <col min="6" max="6" width="8.21875" style="716" customWidth="1"/>
    <col min="7" max="7" width="1.21875" style="837" customWidth="1"/>
    <col min="8" max="8" width="8.109375" style="715" customWidth="1"/>
    <col min="9" max="9" width="1.21875" style="837" customWidth="1"/>
    <col min="10" max="10" width="7" style="687" customWidth="1"/>
    <col min="11" max="11" width="1.21875" style="687" customWidth="1"/>
    <col min="12" max="12" width="8.88671875" style="715" customWidth="1"/>
    <col min="13" max="13" width="1.21875" style="687" customWidth="1"/>
    <col min="14" max="14" width="12.44140625" style="687" customWidth="1"/>
    <col min="15" max="15" width="1.88671875" style="687" bestFit="1" customWidth="1"/>
    <col min="16" max="16" width="9.21875" style="687" customWidth="1"/>
    <col min="17" max="29" width="9.88671875" style="687" customWidth="1"/>
    <col min="30" max="30" width="15.88671875" style="687" customWidth="1"/>
    <col min="31" max="31" width="1.44140625" style="687" customWidth="1"/>
    <col min="32" max="32" width="9.21875" style="716" customWidth="1"/>
    <col min="33" max="33" width="2.109375" style="687" customWidth="1"/>
    <col min="34" max="34" width="11.109375" style="687" customWidth="1"/>
    <col min="35" max="35" width="1.21875" style="687" customWidth="1"/>
    <col min="36" max="36" width="13.5546875" style="687" bestFit="1" customWidth="1"/>
    <col min="37" max="37" width="1.21875" style="687" customWidth="1"/>
    <col min="38" max="38" width="10.5546875" style="687" bestFit="1" customWidth="1"/>
    <col min="39" max="39" width="1.21875" style="687" customWidth="1"/>
    <col min="40" max="40" width="14.5546875" style="800" customWidth="1"/>
    <col min="41" max="41" width="1.21875" style="687" customWidth="1"/>
    <col min="42" max="42" width="10.6640625" style="800" bestFit="1" customWidth="1"/>
    <col min="43" max="16384" width="7.109375" style="687"/>
  </cols>
  <sheetData>
    <row r="1" spans="1:42" ht="15.75">
      <c r="A1" s="862" t="s">
        <v>971</v>
      </c>
      <c r="B1" s="862"/>
      <c r="C1" s="862"/>
      <c r="D1" s="862"/>
      <c r="E1" s="862"/>
      <c r="F1" s="862"/>
      <c r="G1" s="862"/>
      <c r="H1" s="862"/>
      <c r="I1" s="862"/>
      <c r="J1" s="862"/>
      <c r="K1" s="862"/>
      <c r="L1" s="862"/>
      <c r="M1" s="862"/>
      <c r="N1" s="862"/>
      <c r="O1" s="862"/>
      <c r="P1" s="862"/>
      <c r="Q1" s="862" t="s">
        <v>971</v>
      </c>
      <c r="R1" s="862"/>
      <c r="S1" s="862"/>
      <c r="T1" s="862"/>
      <c r="U1" s="862"/>
      <c r="V1" s="862"/>
      <c r="W1" s="862"/>
      <c r="X1" s="862"/>
      <c r="Y1" s="862"/>
      <c r="Z1" s="862"/>
      <c r="AA1" s="862"/>
      <c r="AB1" s="862"/>
      <c r="AC1" s="862"/>
      <c r="AD1" s="862" t="s">
        <v>971</v>
      </c>
      <c r="AE1" s="862"/>
      <c r="AF1" s="862"/>
      <c r="AG1" s="862"/>
      <c r="AH1" s="862"/>
      <c r="AI1" s="862"/>
      <c r="AJ1" s="862"/>
      <c r="AK1" s="862"/>
      <c r="AL1" s="862"/>
      <c r="AM1" s="862"/>
      <c r="AN1" s="862"/>
    </row>
    <row r="2" spans="1:42" ht="15.75">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c r="AK2" s="956"/>
      <c r="AL2" s="956"/>
      <c r="AM2" s="956"/>
      <c r="AN2" s="956"/>
    </row>
    <row r="3" spans="1:42" ht="15.75">
      <c r="A3" s="936" t="s">
        <v>6</v>
      </c>
      <c r="B3" s="940"/>
      <c r="C3" s="940"/>
      <c r="D3" s="940"/>
      <c r="E3" s="940"/>
      <c r="F3" s="940"/>
      <c r="G3" s="940"/>
      <c r="H3" s="940"/>
      <c r="I3" s="940"/>
      <c r="J3" s="940"/>
      <c r="K3" s="940"/>
      <c r="L3" s="940"/>
      <c r="M3" s="940"/>
      <c r="N3" s="940"/>
      <c r="O3" s="940"/>
      <c r="P3" s="940"/>
      <c r="Q3" s="936" t="s">
        <v>6</v>
      </c>
      <c r="R3" s="940"/>
      <c r="S3" s="940"/>
      <c r="T3" s="940"/>
      <c r="U3" s="940"/>
      <c r="V3" s="940"/>
      <c r="W3" s="940"/>
      <c r="X3" s="940"/>
      <c r="Y3" s="940"/>
      <c r="Z3" s="940"/>
      <c r="AA3" s="940"/>
      <c r="AB3" s="940"/>
      <c r="AC3" s="940"/>
      <c r="AD3" s="936" t="s">
        <v>6</v>
      </c>
      <c r="AE3" s="940"/>
      <c r="AF3" s="940"/>
      <c r="AG3" s="940"/>
      <c r="AH3" s="940"/>
      <c r="AI3" s="940"/>
      <c r="AJ3" s="940"/>
      <c r="AK3" s="940"/>
      <c r="AL3" s="940"/>
      <c r="AM3" s="940"/>
      <c r="AN3" s="940"/>
    </row>
    <row r="4" spans="1:42" ht="15.75">
      <c r="A4" s="723"/>
      <c r="B4" s="723"/>
      <c r="C4" s="723"/>
      <c r="D4" s="755"/>
      <c r="E4" s="759"/>
      <c r="F4" s="760"/>
      <c r="G4" s="754"/>
      <c r="H4" s="755"/>
      <c r="I4" s="754"/>
      <c r="J4" s="723"/>
      <c r="K4" s="723"/>
      <c r="L4" s="755"/>
      <c r="M4" s="723"/>
      <c r="N4" s="723"/>
      <c r="O4" s="723"/>
      <c r="P4" s="723"/>
      <c r="Q4" s="723"/>
      <c r="R4" s="723"/>
      <c r="S4" s="723"/>
      <c r="T4" s="723"/>
      <c r="U4" s="723"/>
      <c r="V4" s="723"/>
      <c r="W4" s="723"/>
      <c r="X4" s="723"/>
      <c r="Y4" s="723"/>
      <c r="Z4" s="723"/>
      <c r="AA4" s="723"/>
      <c r="AB4" s="723"/>
      <c r="AC4" s="723"/>
      <c r="AD4" s="723"/>
      <c r="AE4" s="723"/>
      <c r="AF4" s="760"/>
      <c r="AG4" s="723"/>
      <c r="AH4" s="723"/>
      <c r="AI4" s="723"/>
      <c r="AJ4" s="723"/>
      <c r="AK4" s="723"/>
      <c r="AL4" s="723"/>
      <c r="AM4" s="723"/>
      <c r="AN4" s="801"/>
    </row>
    <row r="5" spans="1:42" s="690" customFormat="1" ht="15.75">
      <c r="A5" s="724"/>
      <c r="B5" s="724"/>
      <c r="C5" s="724" t="s">
        <v>173</v>
      </c>
      <c r="D5" s="725" t="s">
        <v>367</v>
      </c>
      <c r="E5" s="724"/>
      <c r="F5" s="726" t="s">
        <v>853</v>
      </c>
      <c r="G5" s="725"/>
      <c r="H5" s="725" t="s">
        <v>710</v>
      </c>
      <c r="I5" s="725"/>
      <c r="J5" s="724" t="s">
        <v>854</v>
      </c>
      <c r="K5" s="724"/>
      <c r="L5" s="725" t="s">
        <v>712</v>
      </c>
      <c r="M5" s="724"/>
      <c r="N5" s="724" t="s">
        <v>713</v>
      </c>
      <c r="O5" s="724"/>
      <c r="P5" s="726" t="s">
        <v>779</v>
      </c>
      <c r="Q5" s="726" t="s">
        <v>780</v>
      </c>
      <c r="R5" s="726" t="s">
        <v>781</v>
      </c>
      <c r="S5" s="726" t="s">
        <v>782</v>
      </c>
      <c r="T5" s="726" t="s">
        <v>832</v>
      </c>
      <c r="U5" s="726" t="s">
        <v>833</v>
      </c>
      <c r="V5" s="726" t="s">
        <v>855</v>
      </c>
      <c r="W5" s="726" t="s">
        <v>856</v>
      </c>
      <c r="X5" s="726" t="s">
        <v>857</v>
      </c>
      <c r="Y5" s="725" t="s">
        <v>858</v>
      </c>
      <c r="Z5" s="724" t="s">
        <v>859</v>
      </c>
      <c r="AA5" s="724" t="s">
        <v>860</v>
      </c>
      <c r="AB5" s="724" t="s">
        <v>889</v>
      </c>
      <c r="AC5" s="726" t="s">
        <v>890</v>
      </c>
      <c r="AD5" s="724" t="s">
        <v>972</v>
      </c>
      <c r="AE5" s="724"/>
      <c r="AF5" s="724" t="s">
        <v>973</v>
      </c>
      <c r="AG5" s="724"/>
      <c r="AH5" s="724" t="s">
        <v>974</v>
      </c>
      <c r="AI5" s="724"/>
      <c r="AJ5" s="724" t="s">
        <v>975</v>
      </c>
      <c r="AK5" s="724"/>
      <c r="AL5" s="724" t="s">
        <v>976</v>
      </c>
      <c r="AM5" s="724"/>
      <c r="AN5" s="724" t="s">
        <v>977</v>
      </c>
    </row>
    <row r="6" spans="1:42" s="696" customFormat="1" ht="46.5" customHeight="1">
      <c r="A6" s="958" t="s">
        <v>43</v>
      </c>
      <c r="B6" s="958"/>
      <c r="C6" s="958" t="s">
        <v>891</v>
      </c>
      <c r="D6" s="958" t="s">
        <v>978</v>
      </c>
      <c r="E6" s="967" t="s">
        <v>979</v>
      </c>
      <c r="F6" s="958" t="s">
        <v>980</v>
      </c>
      <c r="G6" s="958" t="s">
        <v>163</v>
      </c>
      <c r="H6" s="958" t="s">
        <v>981</v>
      </c>
      <c r="I6" s="958" t="s">
        <v>876</v>
      </c>
      <c r="J6" s="958" t="s">
        <v>982</v>
      </c>
      <c r="K6" s="958" t="s">
        <v>163</v>
      </c>
      <c r="L6" s="958" t="s">
        <v>983</v>
      </c>
      <c r="M6" s="958" t="s">
        <v>876</v>
      </c>
      <c r="N6" s="958" t="s">
        <v>984</v>
      </c>
      <c r="O6" s="958" t="s">
        <v>163</v>
      </c>
      <c r="P6" s="958" t="s">
        <v>985</v>
      </c>
      <c r="Q6" s="729" t="s">
        <v>863</v>
      </c>
      <c r="R6" s="729" t="s">
        <v>864</v>
      </c>
      <c r="S6" s="729" t="s">
        <v>865</v>
      </c>
      <c r="T6" s="729" t="s">
        <v>866</v>
      </c>
      <c r="U6" s="729" t="s">
        <v>867</v>
      </c>
      <c r="V6" s="729" t="s">
        <v>868</v>
      </c>
      <c r="W6" s="729" t="s">
        <v>869</v>
      </c>
      <c r="X6" s="729" t="s">
        <v>870</v>
      </c>
      <c r="Y6" s="729" t="s">
        <v>871</v>
      </c>
      <c r="Z6" s="729" t="s">
        <v>872</v>
      </c>
      <c r="AA6" s="729" t="s">
        <v>873</v>
      </c>
      <c r="AB6" s="729" t="s">
        <v>874</v>
      </c>
      <c r="AC6" s="729" t="s">
        <v>863</v>
      </c>
      <c r="AD6" s="958" t="s">
        <v>986</v>
      </c>
      <c r="AE6" s="958" t="s">
        <v>876</v>
      </c>
      <c r="AF6" s="958" t="s">
        <v>987</v>
      </c>
      <c r="AG6" s="958" t="s">
        <v>876</v>
      </c>
      <c r="AH6" s="958" t="s">
        <v>988</v>
      </c>
      <c r="AI6" s="958" t="s">
        <v>163</v>
      </c>
      <c r="AJ6" s="958" t="s">
        <v>989</v>
      </c>
      <c r="AK6" s="958"/>
      <c r="AL6" s="958" t="s">
        <v>990</v>
      </c>
      <c r="AM6" s="958"/>
      <c r="AN6" s="958" t="s">
        <v>991</v>
      </c>
    </row>
    <row r="7" spans="1:42" s="696" customFormat="1" ht="48" customHeight="1">
      <c r="A7" s="958"/>
      <c r="B7" s="958"/>
      <c r="C7" s="958"/>
      <c r="D7" s="958"/>
      <c r="E7" s="967"/>
      <c r="F7" s="958"/>
      <c r="G7" s="958"/>
      <c r="H7" s="958"/>
      <c r="I7" s="958"/>
      <c r="J7" s="958"/>
      <c r="K7" s="958"/>
      <c r="L7" s="958"/>
      <c r="M7" s="958"/>
      <c r="N7" s="958"/>
      <c r="O7" s="958"/>
      <c r="P7" s="958"/>
      <c r="Q7" s="802">
        <f>R7-1</f>
        <v>2024</v>
      </c>
      <c r="R7" s="802">
        <v>2025</v>
      </c>
      <c r="S7" s="802">
        <v>2025</v>
      </c>
      <c r="T7" s="802">
        <v>2025</v>
      </c>
      <c r="U7" s="802">
        <v>2025</v>
      </c>
      <c r="V7" s="802">
        <v>2025</v>
      </c>
      <c r="W7" s="802">
        <v>2025</v>
      </c>
      <c r="X7" s="802">
        <v>2025</v>
      </c>
      <c r="Y7" s="802">
        <v>2025</v>
      </c>
      <c r="Z7" s="802">
        <v>2025</v>
      </c>
      <c r="AA7" s="802">
        <v>2025</v>
      </c>
      <c r="AB7" s="802">
        <v>2025</v>
      </c>
      <c r="AC7" s="802">
        <v>2025</v>
      </c>
      <c r="AD7" s="958"/>
      <c r="AE7" s="958"/>
      <c r="AF7" s="958"/>
      <c r="AG7" s="958"/>
      <c r="AH7" s="958"/>
      <c r="AI7" s="958"/>
      <c r="AJ7" s="958"/>
      <c r="AK7" s="958"/>
      <c r="AL7" s="958"/>
      <c r="AM7" s="958"/>
      <c r="AN7" s="958"/>
    </row>
    <row r="8" spans="1:42" ht="15.75">
      <c r="A8" s="803">
        <v>1</v>
      </c>
      <c r="B8" s="803"/>
      <c r="C8" s="804" t="s">
        <v>992</v>
      </c>
      <c r="D8" s="804">
        <v>14965794</v>
      </c>
      <c r="E8" s="805"/>
      <c r="F8" s="804">
        <f>15*12</f>
        <v>180</v>
      </c>
      <c r="G8" s="805"/>
      <c r="H8" s="806">
        <f t="shared" ref="H8:H17" si="0">IFERROR(D8/F8,0)</f>
        <v>83143.3</v>
      </c>
      <c r="I8" s="807"/>
      <c r="J8" s="752">
        <v>12</v>
      </c>
      <c r="K8" s="807"/>
      <c r="L8" s="808">
        <f t="shared" ref="L8:L17" si="1">IFERROR(H8*J8,0)</f>
        <v>997719.60000000009</v>
      </c>
      <c r="M8" s="809"/>
      <c r="N8" s="810">
        <v>1</v>
      </c>
      <c r="O8" s="807"/>
      <c r="P8" s="806">
        <f t="shared" ref="P8:P17" si="2">IFERROR(L8*N8,0)</f>
        <v>997719.60000000009</v>
      </c>
      <c r="Q8" s="811">
        <v>10577973.393548349</v>
      </c>
      <c r="R8" s="811">
        <f>+Q8-H8</f>
        <v>10494830.093548348</v>
      </c>
      <c r="S8" s="811">
        <f>+R8-$H8</f>
        <v>10411686.793548347</v>
      </c>
      <c r="T8" s="811">
        <f t="shared" ref="T8:AB8" si="3">+S8-$H8</f>
        <v>10328543.493548347</v>
      </c>
      <c r="U8" s="811">
        <f t="shared" si="3"/>
        <v>10245400.193548346</v>
      </c>
      <c r="V8" s="811">
        <f t="shared" si="3"/>
        <v>10162256.893548345</v>
      </c>
      <c r="W8" s="811">
        <f t="shared" si="3"/>
        <v>10079113.593548344</v>
      </c>
      <c r="X8" s="811">
        <f t="shared" si="3"/>
        <v>9995970.2935483437</v>
      </c>
      <c r="Y8" s="811">
        <f t="shared" si="3"/>
        <v>9912826.993548343</v>
      </c>
      <c r="Z8" s="811">
        <f t="shared" si="3"/>
        <v>9829683.6935483422</v>
      </c>
      <c r="AA8" s="811">
        <f t="shared" si="3"/>
        <v>9746540.3935483415</v>
      </c>
      <c r="AB8" s="811">
        <f t="shared" si="3"/>
        <v>9663397.0935483407</v>
      </c>
      <c r="AC8" s="811">
        <f>+AB8-$H8</f>
        <v>9580253.79354834</v>
      </c>
      <c r="AD8" s="806">
        <f>SUM(Q8:AC8)/13</f>
        <v>10079113.593548344</v>
      </c>
      <c r="AE8" s="807"/>
      <c r="AF8" s="810">
        <v>1</v>
      </c>
      <c r="AG8" s="743"/>
      <c r="AH8" s="812">
        <f t="shared" ref="AH8:AH17" si="4">N8</f>
        <v>1</v>
      </c>
      <c r="AI8" s="743"/>
      <c r="AJ8" s="806">
        <f>+AD8*AF8*AH8</f>
        <v>10079113.593548344</v>
      </c>
      <c r="AK8" s="743"/>
      <c r="AL8" s="813"/>
      <c r="AM8" s="743"/>
      <c r="AN8" s="737" t="s">
        <v>993</v>
      </c>
      <c r="AP8" s="687"/>
    </row>
    <row r="9" spans="1:42" ht="15.75">
      <c r="A9" s="743" t="s">
        <v>254</v>
      </c>
      <c r="B9" s="743"/>
      <c r="C9" s="734"/>
      <c r="D9" s="738"/>
      <c r="E9" s="747"/>
      <c r="F9" s="738"/>
      <c r="G9" s="747"/>
      <c r="H9" s="746">
        <f t="shared" si="0"/>
        <v>0</v>
      </c>
      <c r="I9" s="743"/>
      <c r="J9" s="738"/>
      <c r="K9" s="743"/>
      <c r="L9" s="814">
        <f t="shared" si="1"/>
        <v>0</v>
      </c>
      <c r="M9" s="815"/>
      <c r="N9" s="816"/>
      <c r="O9" s="743"/>
      <c r="P9" s="746">
        <f t="shared" si="2"/>
        <v>0</v>
      </c>
      <c r="Q9" s="817"/>
      <c r="R9" s="817"/>
      <c r="S9" s="817"/>
      <c r="T9" s="817"/>
      <c r="U9" s="817"/>
      <c r="V9" s="817"/>
      <c r="W9" s="817"/>
      <c r="X9" s="817"/>
      <c r="Y9" s="817"/>
      <c r="Z9" s="817"/>
      <c r="AA9" s="817"/>
      <c r="AB9" s="817"/>
      <c r="AC9" s="817"/>
      <c r="AD9" s="818">
        <f t="shared" ref="AD9:AD13" si="5">SUM(Q9:AC9)/13</f>
        <v>0</v>
      </c>
      <c r="AE9" s="743"/>
      <c r="AF9" s="752">
        <v>0</v>
      </c>
      <c r="AG9" s="743"/>
      <c r="AH9" s="812">
        <f t="shared" si="4"/>
        <v>0</v>
      </c>
      <c r="AI9" s="743"/>
      <c r="AJ9" s="806">
        <f t="shared" ref="AJ9:AJ17" si="6">+AD9*AF9*AH9</f>
        <v>0</v>
      </c>
      <c r="AK9" s="743"/>
      <c r="AL9" s="737"/>
      <c r="AM9" s="743"/>
      <c r="AN9" s="737"/>
      <c r="AP9" s="687"/>
    </row>
    <row r="10" spans="1:42" ht="15.75">
      <c r="A10" s="743" t="s">
        <v>880</v>
      </c>
      <c r="B10" s="743"/>
      <c r="C10" s="734"/>
      <c r="D10" s="738"/>
      <c r="E10" s="747"/>
      <c r="F10" s="738"/>
      <c r="G10" s="747"/>
      <c r="H10" s="746">
        <f t="shared" si="0"/>
        <v>0</v>
      </c>
      <c r="I10" s="743"/>
      <c r="J10" s="738"/>
      <c r="K10" s="743"/>
      <c r="L10" s="814">
        <f t="shared" si="1"/>
        <v>0</v>
      </c>
      <c r="M10" s="815"/>
      <c r="N10" s="816"/>
      <c r="O10" s="743"/>
      <c r="P10" s="746">
        <f t="shared" si="2"/>
        <v>0</v>
      </c>
      <c r="Q10" s="817"/>
      <c r="R10" s="817"/>
      <c r="S10" s="817"/>
      <c r="T10" s="817"/>
      <c r="U10" s="817"/>
      <c r="V10" s="817"/>
      <c r="W10" s="817"/>
      <c r="X10" s="817"/>
      <c r="Y10" s="817"/>
      <c r="Z10" s="817"/>
      <c r="AA10" s="817"/>
      <c r="AB10" s="817"/>
      <c r="AC10" s="817"/>
      <c r="AD10" s="818">
        <f t="shared" si="5"/>
        <v>0</v>
      </c>
      <c r="AE10" s="743"/>
      <c r="AF10" s="752">
        <v>0</v>
      </c>
      <c r="AG10" s="743"/>
      <c r="AH10" s="812">
        <f t="shared" si="4"/>
        <v>0</v>
      </c>
      <c r="AI10" s="743"/>
      <c r="AJ10" s="806">
        <f t="shared" si="6"/>
        <v>0</v>
      </c>
      <c r="AK10" s="743"/>
      <c r="AL10" s="737"/>
      <c r="AM10" s="743"/>
      <c r="AN10" s="737"/>
      <c r="AP10" s="687"/>
    </row>
    <row r="11" spans="1:42" ht="15.75">
      <c r="A11" s="743" t="s">
        <v>881</v>
      </c>
      <c r="B11" s="743"/>
      <c r="C11" s="734"/>
      <c r="D11" s="738"/>
      <c r="E11" s="747"/>
      <c r="F11" s="738"/>
      <c r="G11" s="747"/>
      <c r="H11" s="746">
        <f t="shared" si="0"/>
        <v>0</v>
      </c>
      <c r="I11" s="743"/>
      <c r="J11" s="738"/>
      <c r="K11" s="743"/>
      <c r="L11" s="814">
        <f t="shared" si="1"/>
        <v>0</v>
      </c>
      <c r="M11" s="815"/>
      <c r="N11" s="816"/>
      <c r="O11" s="743"/>
      <c r="P11" s="746">
        <f t="shared" si="2"/>
        <v>0</v>
      </c>
      <c r="Q11" s="817"/>
      <c r="R11" s="817"/>
      <c r="S11" s="817"/>
      <c r="T11" s="817"/>
      <c r="U11" s="817"/>
      <c r="V11" s="817"/>
      <c r="W11" s="817"/>
      <c r="X11" s="817"/>
      <c r="Y11" s="817"/>
      <c r="Z11" s="817"/>
      <c r="AA11" s="817"/>
      <c r="AB11" s="817"/>
      <c r="AC11" s="817"/>
      <c r="AD11" s="818">
        <f t="shared" si="5"/>
        <v>0</v>
      </c>
      <c r="AE11" s="743"/>
      <c r="AF11" s="752">
        <v>0</v>
      </c>
      <c r="AG11" s="743"/>
      <c r="AH11" s="812">
        <f t="shared" si="4"/>
        <v>0</v>
      </c>
      <c r="AI11" s="743"/>
      <c r="AJ11" s="806">
        <f t="shared" si="6"/>
        <v>0</v>
      </c>
      <c r="AK11" s="743"/>
      <c r="AL11" s="737"/>
      <c r="AM11" s="743"/>
      <c r="AN11" s="737"/>
      <c r="AP11" s="687"/>
    </row>
    <row r="12" spans="1:42" ht="15.75">
      <c r="A12" s="743" t="s">
        <v>256</v>
      </c>
      <c r="B12" s="743"/>
      <c r="C12" s="734"/>
      <c r="D12" s="738"/>
      <c r="E12" s="747"/>
      <c r="F12" s="738"/>
      <c r="G12" s="747"/>
      <c r="H12" s="746">
        <f t="shared" si="0"/>
        <v>0</v>
      </c>
      <c r="I12" s="743"/>
      <c r="J12" s="738"/>
      <c r="K12" s="743"/>
      <c r="L12" s="814">
        <f t="shared" si="1"/>
        <v>0</v>
      </c>
      <c r="M12" s="815"/>
      <c r="N12" s="816"/>
      <c r="O12" s="743"/>
      <c r="P12" s="746">
        <f t="shared" si="2"/>
        <v>0</v>
      </c>
      <c r="Q12" s="817"/>
      <c r="R12" s="817"/>
      <c r="S12" s="817"/>
      <c r="T12" s="817"/>
      <c r="U12" s="817"/>
      <c r="V12" s="817"/>
      <c r="W12" s="817"/>
      <c r="X12" s="817"/>
      <c r="Y12" s="817"/>
      <c r="Z12" s="817"/>
      <c r="AA12" s="817"/>
      <c r="AB12" s="817"/>
      <c r="AC12" s="817"/>
      <c r="AD12" s="818">
        <f t="shared" si="5"/>
        <v>0</v>
      </c>
      <c r="AE12" s="743"/>
      <c r="AF12" s="752">
        <v>0</v>
      </c>
      <c r="AG12" s="743"/>
      <c r="AH12" s="812">
        <f t="shared" si="4"/>
        <v>0</v>
      </c>
      <c r="AI12" s="743"/>
      <c r="AJ12" s="806">
        <f t="shared" si="6"/>
        <v>0</v>
      </c>
      <c r="AK12" s="743"/>
      <c r="AL12" s="737"/>
      <c r="AM12" s="743"/>
      <c r="AN12" s="737"/>
      <c r="AP12" s="687"/>
    </row>
    <row r="13" spans="1:42" ht="15.75">
      <c r="A13" s="743" t="s">
        <v>256</v>
      </c>
      <c r="B13" s="743"/>
      <c r="C13" s="734"/>
      <c r="D13" s="738"/>
      <c r="E13" s="747"/>
      <c r="F13" s="738"/>
      <c r="G13" s="747"/>
      <c r="H13" s="746">
        <f t="shared" si="0"/>
        <v>0</v>
      </c>
      <c r="I13" s="743"/>
      <c r="J13" s="738"/>
      <c r="K13" s="743"/>
      <c r="L13" s="814">
        <f t="shared" si="1"/>
        <v>0</v>
      </c>
      <c r="M13" s="815"/>
      <c r="N13" s="816"/>
      <c r="O13" s="743"/>
      <c r="P13" s="746">
        <f t="shared" si="2"/>
        <v>0</v>
      </c>
      <c r="Q13" s="817"/>
      <c r="R13" s="817"/>
      <c r="S13" s="817"/>
      <c r="T13" s="817"/>
      <c r="U13" s="817"/>
      <c r="V13" s="817"/>
      <c r="W13" s="817"/>
      <c r="X13" s="817"/>
      <c r="Y13" s="817"/>
      <c r="Z13" s="817"/>
      <c r="AA13" s="817"/>
      <c r="AB13" s="817"/>
      <c r="AC13" s="817"/>
      <c r="AD13" s="818">
        <f t="shared" si="5"/>
        <v>0</v>
      </c>
      <c r="AE13" s="743"/>
      <c r="AF13" s="752">
        <v>0</v>
      </c>
      <c r="AG13" s="743"/>
      <c r="AH13" s="812">
        <f t="shared" si="4"/>
        <v>0</v>
      </c>
      <c r="AI13" s="743"/>
      <c r="AJ13" s="806">
        <f t="shared" si="6"/>
        <v>0</v>
      </c>
      <c r="AK13" s="743"/>
      <c r="AL13" s="737"/>
      <c r="AM13" s="743"/>
      <c r="AN13" s="737"/>
      <c r="AP13" s="687"/>
    </row>
    <row r="14" spans="1:42" ht="15.75">
      <c r="A14" s="743" t="s">
        <v>256</v>
      </c>
      <c r="B14" s="743"/>
      <c r="C14" s="734"/>
      <c r="D14" s="738"/>
      <c r="E14" s="747"/>
      <c r="F14" s="738"/>
      <c r="G14" s="747"/>
      <c r="H14" s="746">
        <f t="shared" si="0"/>
        <v>0</v>
      </c>
      <c r="I14" s="743"/>
      <c r="J14" s="738"/>
      <c r="K14" s="743"/>
      <c r="L14" s="814">
        <f t="shared" si="1"/>
        <v>0</v>
      </c>
      <c r="M14" s="815"/>
      <c r="N14" s="816"/>
      <c r="O14" s="743"/>
      <c r="P14" s="746">
        <f t="shared" si="2"/>
        <v>0</v>
      </c>
      <c r="Q14" s="817"/>
      <c r="R14" s="817"/>
      <c r="S14" s="817"/>
      <c r="T14" s="817"/>
      <c r="U14" s="817"/>
      <c r="V14" s="817"/>
      <c r="W14" s="817"/>
      <c r="X14" s="817"/>
      <c r="Y14" s="817"/>
      <c r="Z14" s="817"/>
      <c r="AA14" s="817"/>
      <c r="AB14" s="817"/>
      <c r="AC14" s="817"/>
      <c r="AD14" s="818">
        <f t="shared" ref="AD14:AD17" si="7">SUM(Q14:AC14)/13</f>
        <v>0</v>
      </c>
      <c r="AE14" s="743"/>
      <c r="AF14" s="752">
        <v>0</v>
      </c>
      <c r="AG14" s="743"/>
      <c r="AH14" s="812">
        <f t="shared" si="4"/>
        <v>0</v>
      </c>
      <c r="AI14" s="743"/>
      <c r="AJ14" s="806">
        <f t="shared" si="6"/>
        <v>0</v>
      </c>
      <c r="AK14" s="743"/>
      <c r="AL14" s="737"/>
      <c r="AM14" s="743"/>
      <c r="AN14" s="737"/>
      <c r="AP14" s="687"/>
    </row>
    <row r="15" spans="1:42" ht="15.75">
      <c r="A15" s="743" t="s">
        <v>256</v>
      </c>
      <c r="B15" s="743"/>
      <c r="C15" s="734"/>
      <c r="D15" s="738"/>
      <c r="E15" s="747"/>
      <c r="F15" s="738"/>
      <c r="G15" s="747"/>
      <c r="H15" s="746">
        <f t="shared" si="0"/>
        <v>0</v>
      </c>
      <c r="I15" s="743"/>
      <c r="J15" s="738"/>
      <c r="K15" s="743"/>
      <c r="L15" s="814">
        <f t="shared" si="1"/>
        <v>0</v>
      </c>
      <c r="M15" s="815"/>
      <c r="N15" s="816"/>
      <c r="O15" s="743"/>
      <c r="P15" s="746">
        <f t="shared" si="2"/>
        <v>0</v>
      </c>
      <c r="Q15" s="817"/>
      <c r="R15" s="817"/>
      <c r="S15" s="817"/>
      <c r="T15" s="817"/>
      <c r="U15" s="817"/>
      <c r="V15" s="817"/>
      <c r="W15" s="817"/>
      <c r="X15" s="817"/>
      <c r="Y15" s="817"/>
      <c r="Z15" s="817"/>
      <c r="AA15" s="817"/>
      <c r="AB15" s="817"/>
      <c r="AC15" s="817"/>
      <c r="AD15" s="818">
        <f t="shared" si="7"/>
        <v>0</v>
      </c>
      <c r="AE15" s="743"/>
      <c r="AF15" s="752">
        <v>0</v>
      </c>
      <c r="AG15" s="743"/>
      <c r="AH15" s="812">
        <f t="shared" si="4"/>
        <v>0</v>
      </c>
      <c r="AI15" s="743"/>
      <c r="AJ15" s="806">
        <f t="shared" si="6"/>
        <v>0</v>
      </c>
      <c r="AK15" s="743"/>
      <c r="AL15" s="737"/>
      <c r="AM15" s="743"/>
      <c r="AN15" s="737"/>
      <c r="AP15" s="687"/>
    </row>
    <row r="16" spans="1:42" ht="15.75">
      <c r="A16" s="743" t="s">
        <v>256</v>
      </c>
      <c r="B16" s="743"/>
      <c r="C16" s="734"/>
      <c r="D16" s="738"/>
      <c r="E16" s="747"/>
      <c r="F16" s="738"/>
      <c r="G16" s="747"/>
      <c r="H16" s="746">
        <f t="shared" si="0"/>
        <v>0</v>
      </c>
      <c r="I16" s="743"/>
      <c r="J16" s="738"/>
      <c r="K16" s="743"/>
      <c r="L16" s="814">
        <f t="shared" si="1"/>
        <v>0</v>
      </c>
      <c r="M16" s="815"/>
      <c r="N16" s="816"/>
      <c r="O16" s="743"/>
      <c r="P16" s="746">
        <f t="shared" si="2"/>
        <v>0</v>
      </c>
      <c r="Q16" s="817"/>
      <c r="R16" s="817"/>
      <c r="S16" s="817"/>
      <c r="T16" s="817"/>
      <c r="U16" s="817"/>
      <c r="V16" s="817"/>
      <c r="W16" s="817"/>
      <c r="X16" s="817"/>
      <c r="Y16" s="817"/>
      <c r="Z16" s="817"/>
      <c r="AA16" s="817"/>
      <c r="AB16" s="817"/>
      <c r="AC16" s="817"/>
      <c r="AD16" s="818">
        <f t="shared" si="7"/>
        <v>0</v>
      </c>
      <c r="AE16" s="743"/>
      <c r="AF16" s="752">
        <v>0</v>
      </c>
      <c r="AG16" s="743"/>
      <c r="AH16" s="812">
        <f t="shared" si="4"/>
        <v>0</v>
      </c>
      <c r="AI16" s="743"/>
      <c r="AJ16" s="806">
        <f t="shared" si="6"/>
        <v>0</v>
      </c>
      <c r="AK16" s="743"/>
      <c r="AL16" s="737"/>
      <c r="AM16" s="743"/>
      <c r="AN16" s="737"/>
      <c r="AP16" s="687"/>
    </row>
    <row r="17" spans="1:42" ht="15.75">
      <c r="A17" s="743" t="s">
        <v>258</v>
      </c>
      <c r="B17" s="743"/>
      <c r="C17" s="734"/>
      <c r="D17" s="738"/>
      <c r="E17" s="756"/>
      <c r="F17" s="791"/>
      <c r="G17" s="756"/>
      <c r="H17" s="790">
        <f t="shared" si="0"/>
        <v>0</v>
      </c>
      <c r="I17" s="819"/>
      <c r="J17" s="791"/>
      <c r="K17" s="819"/>
      <c r="L17" s="814">
        <f t="shared" si="1"/>
        <v>0</v>
      </c>
      <c r="M17" s="820"/>
      <c r="N17" s="821"/>
      <c r="O17" s="819"/>
      <c r="P17" s="790">
        <f t="shared" si="2"/>
        <v>0</v>
      </c>
      <c r="Q17" s="822"/>
      <c r="R17" s="822"/>
      <c r="S17" s="822"/>
      <c r="T17" s="822"/>
      <c r="U17" s="822"/>
      <c r="V17" s="822"/>
      <c r="W17" s="822"/>
      <c r="X17" s="822"/>
      <c r="Y17" s="822"/>
      <c r="Z17" s="822"/>
      <c r="AA17" s="822"/>
      <c r="AB17" s="822"/>
      <c r="AC17" s="822"/>
      <c r="AD17" s="823">
        <f t="shared" si="7"/>
        <v>0</v>
      </c>
      <c r="AE17" s="819"/>
      <c r="AF17" s="824">
        <v>0</v>
      </c>
      <c r="AG17" s="819"/>
      <c r="AH17" s="825">
        <f t="shared" si="4"/>
        <v>0</v>
      </c>
      <c r="AI17" s="819"/>
      <c r="AJ17" s="806">
        <f t="shared" si="6"/>
        <v>0</v>
      </c>
      <c r="AK17" s="819"/>
      <c r="AL17" s="826"/>
      <c r="AM17" s="827"/>
      <c r="AN17" s="828"/>
      <c r="AP17" s="687"/>
    </row>
    <row r="18" spans="1:42" ht="15" customHeight="1">
      <c r="A18" s="723">
        <v>2</v>
      </c>
      <c r="B18" s="723"/>
      <c r="C18" s="723"/>
      <c r="D18" s="723"/>
      <c r="E18" s="968" t="s">
        <v>994</v>
      </c>
      <c r="F18" s="968"/>
      <c r="G18" s="968"/>
      <c r="H18" s="968"/>
      <c r="I18" s="968"/>
      <c r="J18" s="968"/>
      <c r="K18" s="968"/>
      <c r="L18" s="968"/>
      <c r="M18" s="968"/>
      <c r="N18" s="968"/>
      <c r="O18" s="968"/>
      <c r="P18" s="829">
        <f>SUM(P8:P17)</f>
        <v>997719.60000000009</v>
      </c>
      <c r="Q18" s="830">
        <f>SUM(Q8:Q17)</f>
        <v>10577973.393548349</v>
      </c>
      <c r="R18" s="723"/>
      <c r="S18" s="831" t="s">
        <v>995</v>
      </c>
      <c r="T18" s="831"/>
      <c r="U18" s="831"/>
      <c r="V18" s="831"/>
      <c r="W18" s="831"/>
      <c r="X18" s="831"/>
      <c r="Y18" s="831"/>
      <c r="Z18" s="831"/>
      <c r="AA18" s="831"/>
      <c r="AB18" s="723"/>
      <c r="AC18" s="830">
        <f>SUM(AC8:AC17)</f>
        <v>9580253.79354834</v>
      </c>
      <c r="AD18" s="832" t="s">
        <v>996</v>
      </c>
      <c r="AE18" s="832"/>
      <c r="AF18" s="832"/>
      <c r="AG18" s="832"/>
      <c r="AH18" s="832"/>
      <c r="AI18" s="832"/>
      <c r="AJ18" s="793">
        <f>SUM(AJ8:AJ17)</f>
        <v>10079113.593548344</v>
      </c>
      <c r="AK18" s="833"/>
      <c r="AL18" s="801"/>
      <c r="AM18" s="723"/>
      <c r="AN18" s="723"/>
      <c r="AP18" s="687"/>
    </row>
    <row r="19" spans="1:42" ht="15.75">
      <c r="A19" s="723"/>
      <c r="B19" s="723"/>
      <c r="C19" s="723"/>
      <c r="D19" s="755"/>
      <c r="E19" s="759"/>
      <c r="F19" s="760"/>
      <c r="G19" s="754"/>
      <c r="H19" s="755"/>
      <c r="I19" s="754"/>
      <c r="J19" s="723"/>
      <c r="K19" s="723"/>
      <c r="L19" s="755"/>
      <c r="M19" s="723"/>
      <c r="N19" s="723"/>
      <c r="O19" s="723"/>
      <c r="P19" s="723"/>
      <c r="Q19" s="723"/>
      <c r="R19" s="723"/>
      <c r="S19" s="723"/>
      <c r="T19" s="723"/>
      <c r="U19" s="723"/>
      <c r="V19" s="723"/>
      <c r="W19" s="723"/>
      <c r="X19" s="723"/>
      <c r="Y19" s="723"/>
      <c r="Z19" s="723"/>
      <c r="AA19" s="723"/>
      <c r="AB19" s="723"/>
      <c r="AC19" s="723"/>
      <c r="AD19" s="723"/>
      <c r="AE19" s="723"/>
      <c r="AF19" s="760"/>
      <c r="AG19" s="723"/>
      <c r="AH19" s="723"/>
      <c r="AI19" s="723"/>
      <c r="AJ19" s="723"/>
      <c r="AK19" s="723"/>
      <c r="AL19" s="723"/>
      <c r="AM19" s="723"/>
      <c r="AN19" s="801"/>
    </row>
    <row r="20" spans="1:42" ht="15.75">
      <c r="A20" s="723"/>
      <c r="B20" s="723"/>
      <c r="C20" s="723" t="s">
        <v>997</v>
      </c>
      <c r="D20" s="755"/>
      <c r="E20" s="759"/>
      <c r="F20" s="760"/>
      <c r="G20" s="754"/>
      <c r="H20" s="755"/>
      <c r="I20" s="754"/>
      <c r="J20" s="723"/>
      <c r="K20" s="723"/>
      <c r="L20" s="755"/>
      <c r="M20" s="723"/>
      <c r="N20" s="723"/>
      <c r="O20" s="723"/>
      <c r="P20" s="723"/>
      <c r="Q20" s="831"/>
      <c r="R20" s="831"/>
      <c r="S20" s="831"/>
      <c r="T20" s="723"/>
      <c r="U20" s="723"/>
      <c r="V20" s="723"/>
      <c r="W20" s="723"/>
      <c r="X20" s="723"/>
      <c r="Y20" s="723"/>
      <c r="Z20" s="723"/>
      <c r="AA20" s="723"/>
      <c r="AB20" s="723"/>
      <c r="AC20" s="831"/>
      <c r="AD20" s="723"/>
      <c r="AE20" s="723"/>
      <c r="AF20" s="723"/>
      <c r="AG20" s="723" t="s">
        <v>884</v>
      </c>
      <c r="AH20" s="801"/>
      <c r="AI20" s="723"/>
      <c r="AJ20" s="723"/>
      <c r="AK20" s="723"/>
      <c r="AL20" s="723"/>
      <c r="AM20" s="723"/>
      <c r="AN20" s="723"/>
      <c r="AP20" s="687"/>
    </row>
    <row r="21" spans="1:42" ht="21" customHeight="1">
      <c r="A21" s="762"/>
      <c r="B21" s="762" t="s">
        <v>38</v>
      </c>
      <c r="C21" s="961" t="s">
        <v>998</v>
      </c>
      <c r="D21" s="961"/>
      <c r="E21" s="961"/>
      <c r="F21" s="961"/>
      <c r="G21" s="961"/>
      <c r="H21" s="961"/>
      <c r="I21" s="961"/>
      <c r="J21" s="961"/>
      <c r="K21" s="961"/>
      <c r="L21" s="766"/>
      <c r="M21" s="766"/>
      <c r="N21" s="766"/>
      <c r="O21" s="766"/>
      <c r="P21" s="834"/>
      <c r="Q21" s="835"/>
      <c r="R21" s="835"/>
      <c r="S21" s="835"/>
      <c r="T21" s="768"/>
      <c r="U21" s="768"/>
      <c r="V21" s="768"/>
      <c r="W21" s="768"/>
      <c r="X21" s="768"/>
      <c r="Y21" s="768"/>
      <c r="Z21" s="768"/>
      <c r="AA21" s="768"/>
      <c r="AB21" s="768"/>
      <c r="AC21" s="768"/>
      <c r="AD21" s="723"/>
      <c r="AE21" s="723"/>
      <c r="AF21" s="763" t="s">
        <v>39</v>
      </c>
      <c r="AG21" s="767" t="s">
        <v>999</v>
      </c>
      <c r="AH21" s="763"/>
      <c r="AI21" s="768"/>
      <c r="AJ21" s="768"/>
      <c r="AK21" s="768"/>
      <c r="AL21" s="768"/>
      <c r="AM21" s="768"/>
      <c r="AN21" s="723"/>
      <c r="AP21" s="687"/>
    </row>
    <row r="22" spans="1:42" ht="17.25" customHeight="1">
      <c r="A22" s="762"/>
      <c r="B22" s="762"/>
      <c r="C22" s="961"/>
      <c r="D22" s="961"/>
      <c r="E22" s="961"/>
      <c r="F22" s="961"/>
      <c r="G22" s="961"/>
      <c r="H22" s="961"/>
      <c r="I22" s="961"/>
      <c r="J22" s="961"/>
      <c r="K22" s="961"/>
      <c r="L22" s="766"/>
      <c r="M22" s="766"/>
      <c r="N22" s="766"/>
      <c r="O22" s="766"/>
      <c r="P22" s="766"/>
      <c r="Q22" s="768"/>
      <c r="R22" s="768"/>
      <c r="S22" s="768"/>
      <c r="T22" s="768"/>
      <c r="U22" s="768"/>
      <c r="V22" s="768"/>
      <c r="W22" s="768"/>
      <c r="X22" s="768"/>
      <c r="Y22" s="768"/>
      <c r="Z22" s="768"/>
      <c r="AA22" s="768"/>
      <c r="AB22" s="768"/>
      <c r="AC22" s="768"/>
      <c r="AD22" s="723"/>
      <c r="AE22" s="723"/>
      <c r="AF22" s="763"/>
      <c r="AG22" s="723"/>
      <c r="AH22" s="763"/>
      <c r="AI22" s="723"/>
      <c r="AJ22" s="723"/>
      <c r="AK22" s="768"/>
      <c r="AL22" s="768"/>
      <c r="AM22" s="768"/>
      <c r="AN22" s="723"/>
      <c r="AP22" s="687"/>
    </row>
    <row r="23" spans="1:42" ht="11.25" customHeight="1">
      <c r="A23" s="762"/>
      <c r="B23" s="762"/>
      <c r="C23" s="765"/>
      <c r="D23" s="765"/>
      <c r="E23" s="765"/>
      <c r="F23" s="765"/>
      <c r="G23" s="765"/>
      <c r="H23" s="765"/>
      <c r="I23" s="765"/>
      <c r="J23" s="765"/>
      <c r="K23" s="766"/>
      <c r="L23" s="766"/>
      <c r="M23" s="766"/>
      <c r="N23" s="766"/>
      <c r="O23" s="766"/>
      <c r="P23" s="766"/>
      <c r="Q23" s="723"/>
      <c r="R23" s="723"/>
      <c r="S23" s="723"/>
      <c r="T23" s="723"/>
      <c r="U23" s="723"/>
      <c r="V23" s="723"/>
      <c r="W23" s="723"/>
      <c r="X23" s="723"/>
      <c r="Y23" s="723"/>
      <c r="Z23" s="723"/>
      <c r="AA23" s="723"/>
      <c r="AB23" s="723"/>
      <c r="AC23" s="723"/>
      <c r="AD23" s="723"/>
      <c r="AE23" s="723"/>
      <c r="AF23" s="723"/>
      <c r="AG23" s="723"/>
      <c r="AH23" s="723"/>
      <c r="AI23" s="723"/>
      <c r="AJ23" s="723"/>
      <c r="AK23" s="723"/>
      <c r="AL23" s="723"/>
      <c r="AM23" s="723"/>
      <c r="AN23" s="723"/>
      <c r="AP23" s="687"/>
    </row>
    <row r="24" spans="1:42" ht="15.75">
      <c r="A24" s="762"/>
      <c r="B24" s="762"/>
      <c r="C24" s="765"/>
      <c r="D24" s="765"/>
      <c r="E24" s="765"/>
      <c r="F24" s="765"/>
      <c r="G24" s="765"/>
      <c r="H24" s="765"/>
      <c r="I24" s="765"/>
      <c r="J24" s="765"/>
      <c r="K24" s="766"/>
      <c r="L24" s="766"/>
      <c r="M24" s="766"/>
      <c r="N24" s="766"/>
      <c r="O24" s="766"/>
      <c r="P24" s="766"/>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3"/>
      <c r="AP24" s="687"/>
    </row>
    <row r="25" spans="1:42" ht="15.75">
      <c r="A25" s="762"/>
      <c r="B25" s="762"/>
      <c r="C25" s="765"/>
      <c r="D25" s="765"/>
      <c r="E25" s="765"/>
      <c r="F25" s="765"/>
      <c r="G25" s="765"/>
      <c r="H25" s="765"/>
      <c r="I25" s="765"/>
      <c r="J25" s="765"/>
      <c r="K25" s="723"/>
      <c r="L25" s="755"/>
      <c r="M25" s="768"/>
      <c r="N25" s="723"/>
      <c r="O25" s="723"/>
      <c r="P25" s="723"/>
      <c r="Q25" s="723"/>
      <c r="R25" s="723"/>
      <c r="S25" s="723"/>
      <c r="T25" s="723"/>
      <c r="U25" s="723"/>
      <c r="V25" s="723"/>
      <c r="W25" s="723"/>
      <c r="X25" s="723"/>
      <c r="Y25" s="723"/>
      <c r="Z25" s="723"/>
      <c r="AA25" s="723"/>
      <c r="AB25" s="723"/>
      <c r="AC25" s="723"/>
      <c r="AD25" s="723"/>
      <c r="AE25" s="723"/>
      <c r="AF25" s="723"/>
      <c r="AG25" s="723"/>
      <c r="AH25" s="723"/>
      <c r="AI25" s="723"/>
      <c r="AJ25" s="723"/>
      <c r="AK25" s="723"/>
      <c r="AL25" s="723"/>
      <c r="AM25" s="723"/>
      <c r="AN25" s="723"/>
      <c r="AP25" s="687"/>
    </row>
    <row r="26" spans="1:42">
      <c r="A26" s="710"/>
      <c r="B26" s="710"/>
      <c r="AF26" s="687"/>
      <c r="AN26" s="687"/>
      <c r="AP26" s="687"/>
    </row>
    <row r="27" spans="1:42">
      <c r="A27" s="710"/>
      <c r="B27" s="710"/>
      <c r="AF27" s="687"/>
      <c r="AN27" s="687"/>
      <c r="AP27" s="687"/>
    </row>
    <row r="28" spans="1:42">
      <c r="A28" s="710"/>
      <c r="B28" s="710"/>
      <c r="AF28" s="687"/>
      <c r="AN28" s="687"/>
      <c r="AP28" s="687"/>
    </row>
    <row r="29" spans="1:42">
      <c r="A29" s="710"/>
      <c r="B29" s="710"/>
      <c r="AF29" s="687"/>
      <c r="AN29" s="687"/>
      <c r="AP29" s="687"/>
    </row>
    <row r="30" spans="1:42">
      <c r="A30" s="710"/>
      <c r="B30" s="710"/>
      <c r="AN30" s="687"/>
      <c r="AP30" s="687"/>
    </row>
    <row r="31" spans="1:42">
      <c r="A31" s="710"/>
      <c r="B31" s="710"/>
      <c r="AN31" s="687"/>
      <c r="AP31" s="687"/>
    </row>
    <row r="32" spans="1:42">
      <c r="B32" s="710"/>
    </row>
  </sheetData>
  <mergeCells count="38">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1:P1"/>
    <mergeCell ref="Q1:AC1"/>
    <mergeCell ref="AD1:AN1"/>
    <mergeCell ref="A2:P2"/>
    <mergeCell ref="Q2:AC2"/>
    <mergeCell ref="AD2:AN2"/>
  </mergeCells>
  <pageMargins left="0.7" right="0.7" top="0.75" bottom="0.75" header="0.3" footer="0.3"/>
  <pageSetup scale="33" orientation="landscape" r:id="rId1"/>
  <headerFooter>
    <oddFooter>&amp;R&amp;"Arial,Regular"Page &amp;P of &amp;N</oddFooter>
  </headerFooter>
  <colBreaks count="2" manualBreakCount="2">
    <brk id="16" max="1048575" man="1"/>
    <brk id="29" max="1048575" man="1"/>
  </colBreaks>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5C8F-C7FE-4663-BE8D-47F2AADCA869}">
  <dimension ref="A1:H21"/>
  <sheetViews>
    <sheetView view="pageBreakPreview" zoomScale="106" zoomScaleNormal="100" zoomScaleSheetLayoutView="106" workbookViewId="0">
      <selection activeCell="E117" sqref="E117"/>
    </sheetView>
  </sheetViews>
  <sheetFormatPr defaultColWidth="8.88671875" defaultRowHeight="16.5"/>
  <cols>
    <col min="1" max="1" width="8.88671875" style="840"/>
    <col min="2" max="2" width="44" style="840" bestFit="1" customWidth="1"/>
    <col min="3" max="3" width="8.88671875" style="840"/>
    <col min="4" max="6" width="15.5546875" style="840" customWidth="1"/>
    <col min="7" max="7" width="13.44140625" style="840" bestFit="1" customWidth="1"/>
    <col min="8" max="8" width="15.5546875" style="840" customWidth="1"/>
    <col min="9" max="16384" width="8.88671875" style="840"/>
  </cols>
  <sheetData>
    <row r="1" spans="1:8">
      <c r="A1" s="838" t="s">
        <v>1000</v>
      </c>
      <c r="B1" s="838"/>
      <c r="C1" s="839"/>
      <c r="D1" s="838"/>
      <c r="E1" s="838"/>
      <c r="F1" s="838"/>
      <c r="G1" s="838"/>
      <c r="H1" s="838"/>
    </row>
    <row r="2" spans="1:8">
      <c r="A2" s="839" t="s">
        <v>1001</v>
      </c>
      <c r="B2" s="839"/>
      <c r="C2" s="839"/>
      <c r="D2" s="839"/>
      <c r="E2" s="839"/>
      <c r="F2" s="839"/>
      <c r="G2" s="839"/>
      <c r="H2" s="839"/>
    </row>
    <row r="3" spans="1:8">
      <c r="A3" s="839"/>
      <c r="C3" s="839"/>
    </row>
    <row r="4" spans="1:8">
      <c r="A4" s="839"/>
      <c r="C4" s="841" t="s">
        <v>1002</v>
      </c>
    </row>
    <row r="5" spans="1:8">
      <c r="C5" s="841"/>
    </row>
    <row r="6" spans="1:8">
      <c r="B6" s="842" t="s">
        <v>173</v>
      </c>
      <c r="D6" s="842" t="s">
        <v>367</v>
      </c>
    </row>
    <row r="7" spans="1:8">
      <c r="A7" s="843"/>
      <c r="D7" s="842" t="s">
        <v>1003</v>
      </c>
    </row>
    <row r="8" spans="1:8">
      <c r="D8" s="844">
        <v>2025</v>
      </c>
    </row>
    <row r="9" spans="1:8">
      <c r="D9" s="845"/>
    </row>
    <row r="10" spans="1:8">
      <c r="A10" s="846">
        <v>1</v>
      </c>
      <c r="B10" s="840" t="s">
        <v>1004</v>
      </c>
      <c r="C10" s="847"/>
      <c r="D10" s="848">
        <f>SUM(D11:D14)</f>
        <v>277228.5</v>
      </c>
    </row>
    <row r="11" spans="1:8">
      <c r="A11" s="846" t="s">
        <v>254</v>
      </c>
      <c r="B11" s="840" t="s">
        <v>1005</v>
      </c>
      <c r="C11" s="847"/>
      <c r="D11" s="849">
        <v>153217.5</v>
      </c>
    </row>
    <row r="12" spans="1:8">
      <c r="A12" s="846" t="s">
        <v>880</v>
      </c>
      <c r="B12" s="840" t="s">
        <v>1006</v>
      </c>
      <c r="C12" s="847"/>
      <c r="D12" s="849">
        <v>73363.5</v>
      </c>
    </row>
    <row r="13" spans="1:8">
      <c r="A13" s="846" t="s">
        <v>881</v>
      </c>
      <c r="B13" s="840" t="s">
        <v>1007</v>
      </c>
      <c r="C13" s="847"/>
      <c r="D13" s="849">
        <v>10620</v>
      </c>
    </row>
    <row r="14" spans="1:8">
      <c r="A14" s="846" t="s">
        <v>1008</v>
      </c>
      <c r="B14" s="840" t="s">
        <v>1009</v>
      </c>
      <c r="C14" s="847"/>
      <c r="D14" s="849">
        <v>40027.5</v>
      </c>
    </row>
    <row r="15" spans="1:8">
      <c r="A15" s="846"/>
      <c r="C15" s="847"/>
      <c r="D15" s="850"/>
    </row>
    <row r="18" spans="1:6">
      <c r="A18" s="839"/>
    </row>
    <row r="19" spans="1:6">
      <c r="A19" s="851"/>
      <c r="B19" s="851"/>
      <c r="C19" s="851"/>
      <c r="D19" s="851"/>
      <c r="E19" s="851"/>
      <c r="F19" s="851"/>
    </row>
    <row r="20" spans="1:6">
      <c r="A20" s="852"/>
      <c r="B20" s="969"/>
      <c r="C20" s="969"/>
      <c r="D20" s="969"/>
      <c r="E20" s="969"/>
      <c r="F20" s="969"/>
    </row>
    <row r="21" spans="1:6">
      <c r="A21" s="839"/>
    </row>
  </sheetData>
  <mergeCells count="1">
    <mergeCell ref="B20:F20"/>
  </mergeCells>
  <pageMargins left="0.7" right="0.7" top="0.75" bottom="0.75" header="0.3" footer="0.3"/>
  <pageSetup scale="7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E494-D169-4868-A456-A692656E618E}">
  <dimension ref="A1:M163"/>
  <sheetViews>
    <sheetView view="pageBreakPreview" zoomScaleNormal="75" zoomScaleSheetLayoutView="100" workbookViewId="0">
      <selection activeCell="F17" sqref="F17"/>
    </sheetView>
  </sheetViews>
  <sheetFormatPr defaultColWidth="8.88671875" defaultRowHeight="15.75"/>
  <cols>
    <col min="1" max="1" width="5" style="164" customWidth="1"/>
    <col min="2" max="2" width="3.21875" style="152" customWidth="1"/>
    <col min="3" max="3" width="48.21875" style="152" customWidth="1"/>
    <col min="4" max="4" width="18.6640625" style="152" customWidth="1"/>
    <col min="5" max="5" width="13.6640625" style="152" customWidth="1"/>
    <col min="6" max="6" width="18.109375" style="152" customWidth="1"/>
    <col min="7" max="7" width="15.21875" style="165" customWidth="1"/>
    <col min="8" max="8" width="11.88671875" style="165" customWidth="1"/>
    <col min="9" max="9" width="13" style="165" customWidth="1"/>
    <col min="10" max="10" width="10.6640625" style="165" customWidth="1"/>
    <col min="11" max="11" width="9" style="165" customWidth="1"/>
    <col min="12" max="13" width="7.5546875" style="165" customWidth="1"/>
    <col min="14" max="16384" width="8.88671875" style="165"/>
  </cols>
  <sheetData>
    <row r="1" spans="1:13" ht="22.5" customHeight="1">
      <c r="A1" s="867" t="s">
        <v>285</v>
      </c>
      <c r="B1" s="867"/>
      <c r="C1" s="867"/>
      <c r="D1" s="867"/>
      <c r="E1" s="867"/>
      <c r="F1" s="867"/>
      <c r="G1" s="188"/>
      <c r="H1" s="188"/>
      <c r="I1" s="188"/>
      <c r="J1" s="188"/>
      <c r="K1" s="188"/>
      <c r="L1" s="188"/>
      <c r="M1" s="188"/>
    </row>
    <row r="2" spans="1:13" ht="18">
      <c r="A2" s="876"/>
      <c r="B2" s="876"/>
      <c r="C2" s="876"/>
      <c r="D2" s="876"/>
      <c r="E2" s="876"/>
      <c r="F2" s="876"/>
      <c r="G2" s="188"/>
      <c r="H2" s="188"/>
      <c r="I2" s="188"/>
      <c r="J2" s="188"/>
      <c r="K2" s="188"/>
      <c r="L2" s="188"/>
      <c r="M2" s="188"/>
    </row>
    <row r="3" spans="1:13" ht="18">
      <c r="A3" s="153"/>
      <c r="B3" s="153"/>
      <c r="C3" s="877" t="s">
        <v>286</v>
      </c>
      <c r="D3" s="856"/>
      <c r="E3" s="153"/>
      <c r="F3" s="153"/>
      <c r="G3" s="188"/>
      <c r="H3" s="188"/>
      <c r="I3" s="188"/>
      <c r="J3" s="188"/>
      <c r="K3" s="188"/>
      <c r="L3" s="188"/>
      <c r="M3" s="188"/>
    </row>
    <row r="4" spans="1:13">
      <c r="C4" s="878" t="s">
        <v>287</v>
      </c>
      <c r="D4" s="869"/>
    </row>
    <row r="5" spans="1:13" ht="16.5" thickBot="1">
      <c r="A5" s="189" t="s">
        <v>288</v>
      </c>
    </row>
    <row r="6" spans="1:13">
      <c r="A6" s="871" t="s">
        <v>289</v>
      </c>
      <c r="B6" s="872"/>
      <c r="C6" s="872"/>
      <c r="D6" s="872"/>
      <c r="E6" s="872"/>
      <c r="F6" s="873"/>
      <c r="G6" s="190"/>
      <c r="H6" s="190"/>
      <c r="I6" s="190"/>
      <c r="J6" s="874"/>
      <c r="K6" s="875"/>
      <c r="L6" s="875"/>
      <c r="M6" s="875"/>
    </row>
    <row r="7" spans="1:13">
      <c r="A7" s="191">
        <v>1</v>
      </c>
      <c r="C7" s="192" t="s">
        <v>290</v>
      </c>
      <c r="D7" s="152" t="s">
        <v>59</v>
      </c>
      <c r="E7" s="164" t="s">
        <v>291</v>
      </c>
      <c r="F7" s="193" t="s">
        <v>292</v>
      </c>
      <c r="G7" s="194"/>
      <c r="J7" s="195"/>
      <c r="K7" s="195"/>
      <c r="L7" s="195"/>
      <c r="M7" s="195"/>
    </row>
    <row r="8" spans="1:13">
      <c r="A8" s="191">
        <f t="shared" ref="A8:A21" si="0">+A7+1</f>
        <v>2</v>
      </c>
      <c r="C8" s="152" t="s">
        <v>293</v>
      </c>
      <c r="D8" s="196" t="s">
        <v>294</v>
      </c>
      <c r="E8" s="197">
        <v>2024</v>
      </c>
      <c r="F8" s="198">
        <v>73292078.200000003</v>
      </c>
      <c r="G8" s="199"/>
      <c r="H8" s="200"/>
      <c r="I8" s="201"/>
      <c r="J8" s="195"/>
      <c r="K8" s="195"/>
      <c r="L8" s="195"/>
      <c r="M8" s="195"/>
    </row>
    <row r="9" spans="1:13">
      <c r="A9" s="191">
        <f t="shared" si="0"/>
        <v>3</v>
      </c>
      <c r="C9" s="202" t="s">
        <v>295</v>
      </c>
      <c r="D9" s="152" t="s">
        <v>296</v>
      </c>
      <c r="E9" s="197">
        <v>2025</v>
      </c>
      <c r="F9" s="198">
        <v>73292078.200000003</v>
      </c>
      <c r="G9" s="203"/>
      <c r="J9" s="195"/>
      <c r="K9" s="195"/>
      <c r="L9" s="195"/>
      <c r="M9" s="195"/>
    </row>
    <row r="10" spans="1:13">
      <c r="A10" s="191">
        <f t="shared" si="0"/>
        <v>4</v>
      </c>
      <c r="B10" s="164"/>
      <c r="C10" s="202" t="s">
        <v>297</v>
      </c>
      <c r="D10" s="152" t="s">
        <v>296</v>
      </c>
      <c r="E10" s="197">
        <v>2025</v>
      </c>
      <c r="F10" s="198">
        <v>73292078.200000003</v>
      </c>
      <c r="G10" s="199"/>
      <c r="H10" s="200"/>
      <c r="I10" s="200"/>
      <c r="J10" s="195"/>
      <c r="K10" s="195"/>
      <c r="L10" s="195"/>
      <c r="M10" s="195"/>
    </row>
    <row r="11" spans="1:13">
      <c r="A11" s="191">
        <f t="shared" si="0"/>
        <v>5</v>
      </c>
      <c r="B11" s="164"/>
      <c r="C11" s="202" t="s">
        <v>298</v>
      </c>
      <c r="D11" s="152" t="s">
        <v>296</v>
      </c>
      <c r="E11" s="197">
        <v>2025</v>
      </c>
      <c r="F11" s="198">
        <v>73292078.200000003</v>
      </c>
      <c r="G11" s="199"/>
      <c r="H11" s="200"/>
      <c r="I11" s="200"/>
      <c r="J11" s="195"/>
      <c r="K11" s="195"/>
      <c r="L11" s="195"/>
      <c r="M11" s="195"/>
    </row>
    <row r="12" spans="1:13">
      <c r="A12" s="191">
        <f t="shared" si="0"/>
        <v>6</v>
      </c>
      <c r="C12" s="202" t="s">
        <v>299</v>
      </c>
      <c r="D12" s="152" t="s">
        <v>296</v>
      </c>
      <c r="E12" s="197">
        <v>2025</v>
      </c>
      <c r="F12" s="198">
        <v>73292078.200000003</v>
      </c>
      <c r="G12" s="199"/>
      <c r="H12" s="200"/>
      <c r="I12" s="200"/>
      <c r="J12" s="195"/>
      <c r="K12" s="195"/>
      <c r="L12" s="195"/>
      <c r="M12" s="195"/>
    </row>
    <row r="13" spans="1:13">
      <c r="A13" s="191">
        <f t="shared" si="0"/>
        <v>7</v>
      </c>
      <c r="C13" s="202" t="s">
        <v>300</v>
      </c>
      <c r="D13" s="152" t="s">
        <v>296</v>
      </c>
      <c r="E13" s="197">
        <v>2025</v>
      </c>
      <c r="F13" s="198">
        <v>73292078.200000003</v>
      </c>
    </row>
    <row r="14" spans="1:13">
      <c r="A14" s="191">
        <f t="shared" si="0"/>
        <v>8</v>
      </c>
      <c r="C14" s="202" t="s">
        <v>301</v>
      </c>
      <c r="D14" s="152" t="s">
        <v>296</v>
      </c>
      <c r="E14" s="197">
        <v>2025</v>
      </c>
      <c r="F14" s="198">
        <v>73292078.200000003</v>
      </c>
      <c r="G14" s="199"/>
      <c r="H14" s="200"/>
      <c r="I14" s="201"/>
      <c r="J14" s="195"/>
      <c r="K14" s="195"/>
      <c r="L14" s="195"/>
      <c r="M14" s="195"/>
    </row>
    <row r="15" spans="1:13">
      <c r="A15" s="191">
        <f t="shared" si="0"/>
        <v>9</v>
      </c>
      <c r="C15" s="202" t="s">
        <v>302</v>
      </c>
      <c r="D15" s="152" t="s">
        <v>296</v>
      </c>
      <c r="E15" s="197">
        <v>2025</v>
      </c>
      <c r="F15" s="198">
        <v>73292078.200000003</v>
      </c>
      <c r="G15" s="203"/>
      <c r="J15" s="195"/>
      <c r="K15" s="195"/>
      <c r="L15" s="195"/>
      <c r="M15" s="195"/>
    </row>
    <row r="16" spans="1:13">
      <c r="A16" s="191">
        <f t="shared" si="0"/>
        <v>10</v>
      </c>
      <c r="B16" s="164"/>
      <c r="C16" s="202" t="s">
        <v>303</v>
      </c>
      <c r="D16" s="152" t="s">
        <v>296</v>
      </c>
      <c r="E16" s="197">
        <v>2025</v>
      </c>
      <c r="F16" s="198">
        <v>73292078.200000003</v>
      </c>
      <c r="G16" s="199"/>
      <c r="H16" s="200"/>
      <c r="I16" s="200"/>
      <c r="J16" s="195"/>
      <c r="K16" s="195"/>
      <c r="L16" s="195"/>
      <c r="M16" s="195"/>
    </row>
    <row r="17" spans="1:13">
      <c r="A17" s="191">
        <f t="shared" si="0"/>
        <v>11</v>
      </c>
      <c r="B17" s="164"/>
      <c r="C17" s="202" t="s">
        <v>304</v>
      </c>
      <c r="D17" s="152" t="s">
        <v>296</v>
      </c>
      <c r="E17" s="197">
        <v>2025</v>
      </c>
      <c r="F17" s="198">
        <v>73292078.200000003</v>
      </c>
      <c r="G17" s="199"/>
      <c r="H17" s="200"/>
      <c r="I17" s="200"/>
      <c r="J17" s="195"/>
      <c r="K17" s="195"/>
      <c r="L17" s="195"/>
      <c r="M17" s="195"/>
    </row>
    <row r="18" spans="1:13">
      <c r="A18" s="191">
        <f t="shared" si="0"/>
        <v>12</v>
      </c>
      <c r="C18" s="202" t="s">
        <v>305</v>
      </c>
      <c r="D18" s="152" t="s">
        <v>296</v>
      </c>
      <c r="E18" s="197">
        <v>2025</v>
      </c>
      <c r="F18" s="198">
        <v>73292078.200000003</v>
      </c>
      <c r="G18" s="199"/>
      <c r="H18" s="200"/>
      <c r="I18" s="200"/>
      <c r="J18" s="195"/>
      <c r="K18" s="195"/>
      <c r="L18" s="195"/>
      <c r="M18" s="195"/>
    </row>
    <row r="19" spans="1:13">
      <c r="A19" s="191">
        <f t="shared" si="0"/>
        <v>13</v>
      </c>
      <c r="C19" s="202" t="s">
        <v>306</v>
      </c>
      <c r="D19" s="152" t="s">
        <v>296</v>
      </c>
      <c r="E19" s="197">
        <v>2025</v>
      </c>
      <c r="F19" s="198">
        <v>73292078.200000003</v>
      </c>
      <c r="G19" s="199"/>
      <c r="H19" s="200"/>
      <c r="I19" s="200"/>
      <c r="J19" s="195"/>
      <c r="K19" s="195"/>
      <c r="L19" s="195"/>
      <c r="M19" s="195"/>
    </row>
    <row r="20" spans="1:13">
      <c r="A20" s="191">
        <f t="shared" si="0"/>
        <v>14</v>
      </c>
      <c r="C20" s="204" t="s">
        <v>293</v>
      </c>
      <c r="D20" s="205" t="s">
        <v>307</v>
      </c>
      <c r="E20" s="206">
        <v>2025</v>
      </c>
      <c r="F20" s="207">
        <v>73292078.200000003</v>
      </c>
      <c r="G20" s="208"/>
      <c r="H20" s="208"/>
    </row>
    <row r="21" spans="1:13">
      <c r="A21" s="191">
        <f t="shared" si="0"/>
        <v>15</v>
      </c>
      <c r="C21" s="209" t="s">
        <v>308</v>
      </c>
      <c r="D21" s="152" t="str">
        <f>"(sum lines "&amp;A8&amp;"-"&amp;A20&amp;") /13"</f>
        <v>(sum lines 2-14) /13</v>
      </c>
      <c r="E21" s="210"/>
      <c r="F21" s="211">
        <f>SUM(F8:F20)/13</f>
        <v>73292078.200000018</v>
      </c>
      <c r="G21" s="212"/>
      <c r="J21" s="195"/>
      <c r="K21" s="195"/>
      <c r="L21" s="195"/>
      <c r="M21" s="195"/>
    </row>
    <row r="22" spans="1:13">
      <c r="A22" s="191"/>
      <c r="B22" s="164"/>
      <c r="C22" s="202"/>
      <c r="E22" s="213"/>
      <c r="F22" s="214"/>
      <c r="G22" s="199"/>
      <c r="H22" s="200"/>
      <c r="I22" s="200"/>
      <c r="J22" s="195"/>
      <c r="K22" s="195"/>
      <c r="L22" s="195"/>
      <c r="M22" s="195"/>
    </row>
    <row r="23" spans="1:13">
      <c r="A23" s="191">
        <f>+A21+1</f>
        <v>16</v>
      </c>
      <c r="C23" s="192" t="s">
        <v>309</v>
      </c>
      <c r="D23" s="152" t="s">
        <v>59</v>
      </c>
      <c r="E23" s="215"/>
      <c r="F23" s="216"/>
      <c r="J23" s="195"/>
      <c r="K23" s="195"/>
      <c r="L23" s="195"/>
      <c r="M23" s="195"/>
    </row>
    <row r="24" spans="1:13">
      <c r="A24" s="191">
        <f>+A23+1</f>
        <v>17</v>
      </c>
      <c r="C24" s="152" t="s">
        <v>293</v>
      </c>
      <c r="D24" s="196" t="s">
        <v>310</v>
      </c>
      <c r="E24" s="197">
        <f>+$E$8</f>
        <v>2024</v>
      </c>
      <c r="F24" s="198">
        <v>1086793.75</v>
      </c>
      <c r="G24" s="199"/>
      <c r="J24" s="195"/>
      <c r="K24" s="195"/>
      <c r="L24" s="195"/>
      <c r="M24" s="195"/>
    </row>
    <row r="25" spans="1:13">
      <c r="A25" s="191">
        <f t="shared" ref="A25:A36" si="1">+A24+1</f>
        <v>18</v>
      </c>
      <c r="C25" s="202" t="s">
        <v>295</v>
      </c>
      <c r="D25" s="152" t="s">
        <v>296</v>
      </c>
      <c r="E25" s="197">
        <f>+$E$9</f>
        <v>2025</v>
      </c>
      <c r="F25" s="198">
        <v>1086793.75</v>
      </c>
      <c r="G25" s="199"/>
      <c r="J25" s="195"/>
      <c r="K25" s="195"/>
      <c r="L25" s="195"/>
      <c r="M25" s="195"/>
    </row>
    <row r="26" spans="1:13">
      <c r="A26" s="191">
        <f t="shared" si="1"/>
        <v>19</v>
      </c>
      <c r="C26" s="202" t="s">
        <v>297</v>
      </c>
      <c r="D26" s="152" t="s">
        <v>296</v>
      </c>
      <c r="E26" s="197">
        <f t="shared" ref="E26:E36" si="2">+$E$9</f>
        <v>2025</v>
      </c>
      <c r="F26" s="198">
        <v>1086793.75</v>
      </c>
      <c r="G26" s="199"/>
      <c r="J26" s="195"/>
      <c r="K26" s="195"/>
      <c r="L26" s="195"/>
      <c r="M26" s="195"/>
    </row>
    <row r="27" spans="1:13">
      <c r="A27" s="191">
        <f t="shared" si="1"/>
        <v>20</v>
      </c>
      <c r="C27" s="202" t="s">
        <v>298</v>
      </c>
      <c r="D27" s="152" t="s">
        <v>296</v>
      </c>
      <c r="E27" s="197">
        <f t="shared" si="2"/>
        <v>2025</v>
      </c>
      <c r="F27" s="198">
        <v>1086793.75</v>
      </c>
      <c r="G27" s="199"/>
      <c r="J27" s="195"/>
      <c r="K27" s="195"/>
      <c r="L27" s="195"/>
      <c r="M27" s="195"/>
    </row>
    <row r="28" spans="1:13">
      <c r="A28" s="191">
        <f t="shared" si="1"/>
        <v>21</v>
      </c>
      <c r="C28" s="202" t="s">
        <v>299</v>
      </c>
      <c r="D28" s="152" t="s">
        <v>296</v>
      </c>
      <c r="E28" s="197">
        <f t="shared" si="2"/>
        <v>2025</v>
      </c>
      <c r="F28" s="198">
        <v>1086793.75</v>
      </c>
      <c r="G28" s="199"/>
      <c r="J28" s="195"/>
      <c r="K28" s="195"/>
      <c r="L28" s="195"/>
      <c r="M28" s="195"/>
    </row>
    <row r="29" spans="1:13">
      <c r="A29" s="191">
        <f t="shared" si="1"/>
        <v>22</v>
      </c>
      <c r="C29" s="202" t="s">
        <v>300</v>
      </c>
      <c r="D29" s="152" t="s">
        <v>296</v>
      </c>
      <c r="E29" s="197">
        <f t="shared" si="2"/>
        <v>2025</v>
      </c>
      <c r="F29" s="198">
        <v>1086793.75</v>
      </c>
      <c r="G29" s="199"/>
      <c r="J29" s="195"/>
      <c r="K29" s="195"/>
      <c r="L29" s="195"/>
      <c r="M29" s="195"/>
    </row>
    <row r="30" spans="1:13">
      <c r="A30" s="191">
        <f t="shared" si="1"/>
        <v>23</v>
      </c>
      <c r="C30" s="202" t="s">
        <v>301</v>
      </c>
      <c r="D30" s="152" t="s">
        <v>296</v>
      </c>
      <c r="E30" s="197">
        <f t="shared" si="2"/>
        <v>2025</v>
      </c>
      <c r="F30" s="198">
        <v>1086793.75</v>
      </c>
      <c r="G30" s="199"/>
      <c r="J30" s="195"/>
      <c r="K30" s="195"/>
      <c r="L30" s="195"/>
      <c r="M30" s="195"/>
    </row>
    <row r="31" spans="1:13">
      <c r="A31" s="191">
        <f t="shared" si="1"/>
        <v>24</v>
      </c>
      <c r="C31" s="202" t="s">
        <v>302</v>
      </c>
      <c r="D31" s="152" t="s">
        <v>296</v>
      </c>
      <c r="E31" s="197">
        <f t="shared" si="2"/>
        <v>2025</v>
      </c>
      <c r="F31" s="198">
        <v>1086793.75</v>
      </c>
      <c r="G31" s="199"/>
      <c r="J31" s="195"/>
      <c r="K31" s="195"/>
      <c r="L31" s="195"/>
      <c r="M31" s="195"/>
    </row>
    <row r="32" spans="1:13">
      <c r="A32" s="191">
        <f t="shared" si="1"/>
        <v>25</v>
      </c>
      <c r="C32" s="202" t="s">
        <v>303</v>
      </c>
      <c r="D32" s="152" t="s">
        <v>296</v>
      </c>
      <c r="E32" s="197">
        <f t="shared" si="2"/>
        <v>2025</v>
      </c>
      <c r="F32" s="198">
        <v>1086793.75</v>
      </c>
      <c r="G32" s="199"/>
      <c r="J32" s="195"/>
      <c r="K32" s="195"/>
      <c r="L32" s="195"/>
      <c r="M32" s="195"/>
    </row>
    <row r="33" spans="1:13">
      <c r="A33" s="191">
        <f t="shared" si="1"/>
        <v>26</v>
      </c>
      <c r="C33" s="202" t="s">
        <v>304</v>
      </c>
      <c r="D33" s="152" t="s">
        <v>296</v>
      </c>
      <c r="E33" s="197">
        <f t="shared" si="2"/>
        <v>2025</v>
      </c>
      <c r="F33" s="198">
        <v>1086793.75</v>
      </c>
      <c r="G33" s="199"/>
      <c r="J33" s="195"/>
      <c r="K33" s="195"/>
      <c r="L33" s="195"/>
      <c r="M33" s="195"/>
    </row>
    <row r="34" spans="1:13">
      <c r="A34" s="191">
        <f t="shared" si="1"/>
        <v>27</v>
      </c>
      <c r="C34" s="202" t="s">
        <v>311</v>
      </c>
      <c r="D34" s="152" t="s">
        <v>296</v>
      </c>
      <c r="E34" s="197">
        <f t="shared" si="2"/>
        <v>2025</v>
      </c>
      <c r="F34" s="198">
        <v>1086793.75</v>
      </c>
      <c r="G34" s="199"/>
      <c r="J34" s="195"/>
      <c r="K34" s="195"/>
      <c r="L34" s="195"/>
      <c r="M34" s="195"/>
    </row>
    <row r="35" spans="1:13">
      <c r="A35" s="191">
        <f t="shared" si="1"/>
        <v>28</v>
      </c>
      <c r="C35" s="202" t="s">
        <v>306</v>
      </c>
      <c r="D35" s="152" t="s">
        <v>296</v>
      </c>
      <c r="E35" s="197">
        <f t="shared" si="2"/>
        <v>2025</v>
      </c>
      <c r="F35" s="198">
        <v>1086793.75</v>
      </c>
      <c r="G35" s="199"/>
      <c r="J35" s="195"/>
      <c r="K35" s="195"/>
      <c r="L35" s="195"/>
      <c r="M35" s="195"/>
    </row>
    <row r="36" spans="1:13">
      <c r="A36" s="191">
        <f t="shared" si="1"/>
        <v>29</v>
      </c>
      <c r="C36" s="204" t="s">
        <v>293</v>
      </c>
      <c r="D36" s="205" t="s">
        <v>312</v>
      </c>
      <c r="E36" s="206">
        <f t="shared" si="2"/>
        <v>2025</v>
      </c>
      <c r="F36" s="207">
        <v>1086793.75</v>
      </c>
      <c r="G36" s="208"/>
      <c r="H36" s="200"/>
    </row>
    <row r="37" spans="1:13">
      <c r="A37" s="191">
        <f>+A36+1</f>
        <v>30</v>
      </c>
      <c r="C37" s="209" t="s">
        <v>313</v>
      </c>
      <c r="D37" s="152" t="str">
        <f>"(sum lines "&amp;A24&amp;" - "&amp;A36&amp;") /13"</f>
        <v>(sum lines 17 - 29) /13</v>
      </c>
      <c r="E37" s="213"/>
      <c r="F37" s="211">
        <f>SUM(F24:F36)/13</f>
        <v>1086793.75</v>
      </c>
      <c r="G37" s="212"/>
      <c r="I37" s="217"/>
      <c r="J37" s="195"/>
      <c r="K37" s="195"/>
      <c r="L37" s="195"/>
      <c r="M37" s="195"/>
    </row>
    <row r="38" spans="1:13">
      <c r="A38" s="191"/>
      <c r="C38" s="202"/>
      <c r="E38" s="218"/>
      <c r="F38" s="214"/>
      <c r="G38" s="199"/>
      <c r="H38" s="200"/>
      <c r="I38" s="200"/>
      <c r="J38" s="195"/>
      <c r="K38" s="195"/>
      <c r="L38" s="195"/>
      <c r="M38" s="195"/>
    </row>
    <row r="39" spans="1:13">
      <c r="A39" s="191">
        <f>+A37+1</f>
        <v>31</v>
      </c>
      <c r="C39" s="192" t="s">
        <v>314</v>
      </c>
      <c r="D39" s="152" t="s">
        <v>59</v>
      </c>
      <c r="E39" s="215"/>
      <c r="F39" s="216"/>
      <c r="J39" s="195"/>
      <c r="K39" s="195"/>
      <c r="L39" s="195"/>
      <c r="M39" s="195"/>
    </row>
    <row r="40" spans="1:13">
      <c r="A40" s="191">
        <f>+A39+1</f>
        <v>32</v>
      </c>
      <c r="C40" s="152" t="s">
        <v>293</v>
      </c>
      <c r="D40" s="196" t="s">
        <v>315</v>
      </c>
      <c r="E40" s="197">
        <f>+$E$8</f>
        <v>2024</v>
      </c>
      <c r="F40" s="198">
        <v>1159330.8099999996</v>
      </c>
      <c r="G40" s="199"/>
      <c r="H40" s="200"/>
      <c r="I40" s="201"/>
      <c r="J40" s="195"/>
      <c r="K40" s="195"/>
      <c r="L40" s="195"/>
      <c r="M40" s="195"/>
    </row>
    <row r="41" spans="1:13">
      <c r="A41" s="191">
        <f t="shared" ref="A41:A51" si="3">+A40+1</f>
        <v>33</v>
      </c>
      <c r="C41" s="202" t="s">
        <v>295</v>
      </c>
      <c r="D41" s="152" t="s">
        <v>296</v>
      </c>
      <c r="E41" s="197">
        <f>+$E$9</f>
        <v>2025</v>
      </c>
      <c r="F41" s="198">
        <v>1159330.8099999996</v>
      </c>
      <c r="G41" s="199"/>
      <c r="H41" s="200"/>
      <c r="I41" s="201"/>
      <c r="J41" s="195"/>
      <c r="K41" s="195"/>
      <c r="L41" s="195"/>
      <c r="M41" s="195"/>
    </row>
    <row r="42" spans="1:13">
      <c r="A42" s="191">
        <f t="shared" si="3"/>
        <v>34</v>
      </c>
      <c r="C42" s="202" t="s">
        <v>297</v>
      </c>
      <c r="D42" s="152" t="s">
        <v>296</v>
      </c>
      <c r="E42" s="197">
        <f t="shared" ref="E42:E52" si="4">+$E$9</f>
        <v>2025</v>
      </c>
      <c r="F42" s="198">
        <v>1159330.8099999996</v>
      </c>
      <c r="G42" s="199"/>
      <c r="H42" s="200"/>
      <c r="I42" s="201"/>
      <c r="J42" s="195"/>
      <c r="K42" s="195"/>
      <c r="L42" s="195"/>
      <c r="M42" s="195"/>
    </row>
    <row r="43" spans="1:13">
      <c r="A43" s="191">
        <f t="shared" si="3"/>
        <v>35</v>
      </c>
      <c r="C43" s="202" t="s">
        <v>298</v>
      </c>
      <c r="D43" s="152" t="s">
        <v>296</v>
      </c>
      <c r="E43" s="197">
        <f t="shared" si="4"/>
        <v>2025</v>
      </c>
      <c r="F43" s="198">
        <v>1159330.8099999996</v>
      </c>
      <c r="G43" s="199"/>
      <c r="H43" s="200"/>
      <c r="I43" s="201"/>
      <c r="J43" s="195"/>
      <c r="K43" s="195"/>
      <c r="L43" s="195"/>
      <c r="M43" s="195"/>
    </row>
    <row r="44" spans="1:13">
      <c r="A44" s="191">
        <f t="shared" si="3"/>
        <v>36</v>
      </c>
      <c r="C44" s="202" t="s">
        <v>299</v>
      </c>
      <c r="D44" s="152" t="s">
        <v>296</v>
      </c>
      <c r="E44" s="197">
        <f t="shared" si="4"/>
        <v>2025</v>
      </c>
      <c r="F44" s="198">
        <v>1159330.8099999996</v>
      </c>
      <c r="G44" s="199"/>
      <c r="H44" s="200"/>
      <c r="I44" s="201"/>
      <c r="J44" s="195"/>
      <c r="K44" s="195"/>
      <c r="L44" s="195"/>
      <c r="M44" s="195"/>
    </row>
    <row r="45" spans="1:13">
      <c r="A45" s="191">
        <f t="shared" si="3"/>
        <v>37</v>
      </c>
      <c r="C45" s="202" t="s">
        <v>300</v>
      </c>
      <c r="D45" s="152" t="s">
        <v>296</v>
      </c>
      <c r="E45" s="197">
        <f t="shared" si="4"/>
        <v>2025</v>
      </c>
      <c r="F45" s="198">
        <v>1159330.8099999996</v>
      </c>
      <c r="G45" s="199"/>
      <c r="H45" s="200"/>
      <c r="I45" s="201"/>
      <c r="J45" s="195"/>
      <c r="K45" s="195"/>
      <c r="L45" s="195"/>
      <c r="M45" s="195"/>
    </row>
    <row r="46" spans="1:13">
      <c r="A46" s="191">
        <f t="shared" si="3"/>
        <v>38</v>
      </c>
      <c r="C46" s="202" t="s">
        <v>301</v>
      </c>
      <c r="D46" s="152" t="s">
        <v>296</v>
      </c>
      <c r="E46" s="197">
        <f t="shared" si="4"/>
        <v>2025</v>
      </c>
      <c r="F46" s="198">
        <v>1159330.8099999996</v>
      </c>
      <c r="G46" s="199"/>
      <c r="H46" s="200"/>
      <c r="I46" s="201"/>
      <c r="J46" s="195"/>
      <c r="K46" s="195"/>
      <c r="L46" s="195"/>
      <c r="M46" s="195"/>
    </row>
    <row r="47" spans="1:13">
      <c r="A47" s="191">
        <f t="shared" si="3"/>
        <v>39</v>
      </c>
      <c r="C47" s="202" t="s">
        <v>302</v>
      </c>
      <c r="D47" s="152" t="s">
        <v>296</v>
      </c>
      <c r="E47" s="197">
        <f t="shared" si="4"/>
        <v>2025</v>
      </c>
      <c r="F47" s="198">
        <v>1159330.8099999996</v>
      </c>
      <c r="G47" s="199"/>
      <c r="H47" s="200"/>
      <c r="I47" s="201"/>
      <c r="J47" s="195"/>
      <c r="K47" s="195"/>
      <c r="L47" s="195"/>
      <c r="M47" s="195"/>
    </row>
    <row r="48" spans="1:13">
      <c r="A48" s="191">
        <f t="shared" si="3"/>
        <v>40</v>
      </c>
      <c r="C48" s="202" t="s">
        <v>303</v>
      </c>
      <c r="D48" s="152" t="s">
        <v>296</v>
      </c>
      <c r="E48" s="197">
        <f t="shared" si="4"/>
        <v>2025</v>
      </c>
      <c r="F48" s="198">
        <v>1159330.8099999996</v>
      </c>
      <c r="G48" s="199"/>
      <c r="H48" s="200"/>
      <c r="I48" s="201"/>
      <c r="J48" s="195"/>
      <c r="K48" s="195"/>
      <c r="L48" s="195"/>
      <c r="M48" s="195"/>
    </row>
    <row r="49" spans="1:13">
      <c r="A49" s="191">
        <f t="shared" si="3"/>
        <v>41</v>
      </c>
      <c r="C49" s="202" t="s">
        <v>304</v>
      </c>
      <c r="D49" s="152" t="s">
        <v>296</v>
      </c>
      <c r="E49" s="197">
        <f t="shared" si="4"/>
        <v>2025</v>
      </c>
      <c r="F49" s="198">
        <v>1159330.8099999996</v>
      </c>
      <c r="G49" s="199"/>
      <c r="H49" s="200"/>
      <c r="I49" s="201"/>
      <c r="J49" s="195"/>
      <c r="K49" s="195"/>
      <c r="L49" s="195"/>
      <c r="M49" s="195"/>
    </row>
    <row r="50" spans="1:13">
      <c r="A50" s="191">
        <f t="shared" si="3"/>
        <v>42</v>
      </c>
      <c r="C50" s="202" t="s">
        <v>311</v>
      </c>
      <c r="D50" s="152" t="s">
        <v>296</v>
      </c>
      <c r="E50" s="197">
        <f t="shared" si="4"/>
        <v>2025</v>
      </c>
      <c r="F50" s="198">
        <v>1159330.8099999996</v>
      </c>
      <c r="G50" s="199"/>
      <c r="H50" s="200"/>
      <c r="I50" s="201"/>
      <c r="J50" s="195"/>
      <c r="K50" s="195"/>
      <c r="L50" s="195"/>
      <c r="M50" s="195"/>
    </row>
    <row r="51" spans="1:13">
      <c r="A51" s="191">
        <f t="shared" si="3"/>
        <v>43</v>
      </c>
      <c r="C51" s="202" t="s">
        <v>306</v>
      </c>
      <c r="D51" s="152" t="s">
        <v>296</v>
      </c>
      <c r="E51" s="197">
        <f t="shared" si="4"/>
        <v>2025</v>
      </c>
      <c r="F51" s="198">
        <v>1159330.8099999996</v>
      </c>
      <c r="G51" s="199"/>
      <c r="H51" s="200"/>
      <c r="I51" s="201"/>
      <c r="J51" s="195"/>
      <c r="K51" s="195"/>
      <c r="L51" s="195"/>
      <c r="M51" s="195"/>
    </row>
    <row r="52" spans="1:13">
      <c r="A52" s="191">
        <f>+A51+1</f>
        <v>44</v>
      </c>
      <c r="C52" s="204" t="s">
        <v>293</v>
      </c>
      <c r="D52" s="205" t="s">
        <v>316</v>
      </c>
      <c r="E52" s="206">
        <f t="shared" si="4"/>
        <v>2025</v>
      </c>
      <c r="F52" s="207">
        <v>1159330.8099999996</v>
      </c>
      <c r="G52" s="208"/>
      <c r="H52" s="208"/>
    </row>
    <row r="53" spans="1:13">
      <c r="A53" s="191">
        <f>+A52+1</f>
        <v>45</v>
      </c>
      <c r="C53" s="209" t="s">
        <v>317</v>
      </c>
      <c r="D53" s="152" t="str">
        <f>"(sum lines "&amp;A40&amp;" - "&amp;A52&amp;") /13"</f>
        <v>(sum lines 32 - 44) /13</v>
      </c>
      <c r="E53" s="213"/>
      <c r="F53" s="211">
        <f>SUM(F40:F52)/13</f>
        <v>1159330.8099999991</v>
      </c>
      <c r="G53" s="212"/>
      <c r="I53" s="217"/>
      <c r="J53" s="195"/>
      <c r="K53" s="195"/>
      <c r="L53" s="195"/>
      <c r="M53" s="195"/>
    </row>
    <row r="54" spans="1:13">
      <c r="A54" s="191"/>
      <c r="C54" s="202"/>
      <c r="E54" s="219"/>
      <c r="F54" s="214"/>
      <c r="G54" s="199"/>
      <c r="H54" s="200"/>
      <c r="I54" s="201"/>
      <c r="J54" s="195"/>
      <c r="K54" s="195"/>
      <c r="L54" s="195"/>
      <c r="M54" s="195"/>
    </row>
    <row r="55" spans="1:13">
      <c r="A55" s="191">
        <f>+A53+1</f>
        <v>46</v>
      </c>
      <c r="C55" s="192" t="s">
        <v>318</v>
      </c>
      <c r="D55" s="196" t="str">
        <f>"(sum lines "&amp;A21&amp;", "&amp;A37&amp;", and "&amp;A53&amp;")"</f>
        <v>(sum lines 15, 30, and 45)</v>
      </c>
      <c r="E55" s="210"/>
      <c r="F55" s="220">
        <f>F21+F37+F53</f>
        <v>75538202.76000002</v>
      </c>
      <c r="G55" s="221"/>
      <c r="H55" s="217"/>
      <c r="I55" s="217"/>
    </row>
    <row r="56" spans="1:13" ht="16.5" thickBot="1">
      <c r="A56" s="222"/>
      <c r="B56" s="223"/>
      <c r="C56" s="224"/>
      <c r="D56" s="225"/>
      <c r="E56" s="226"/>
      <c r="F56" s="227"/>
      <c r="G56" s="221"/>
      <c r="H56" s="200"/>
      <c r="I56" s="200"/>
      <c r="J56" s="195"/>
      <c r="K56" s="195"/>
      <c r="L56" s="195"/>
      <c r="M56" s="195"/>
    </row>
    <row r="57" spans="1:13">
      <c r="A57" s="191"/>
      <c r="B57" s="164"/>
      <c r="C57" s="202"/>
      <c r="E57" s="219"/>
      <c r="F57" s="214"/>
      <c r="G57" s="199"/>
      <c r="H57" s="200"/>
      <c r="I57" s="200"/>
      <c r="J57" s="195"/>
      <c r="K57" s="195"/>
      <c r="L57" s="195"/>
      <c r="M57" s="195"/>
    </row>
    <row r="58" spans="1:13" ht="16.5" thickBot="1">
      <c r="A58" s="228" t="s">
        <v>319</v>
      </c>
      <c r="F58" s="216"/>
    </row>
    <row r="59" spans="1:13">
      <c r="A59" s="871" t="s">
        <v>320</v>
      </c>
      <c r="B59" s="872"/>
      <c r="C59" s="872"/>
      <c r="D59" s="872"/>
      <c r="E59" s="872"/>
      <c r="F59" s="873"/>
      <c r="G59" s="190"/>
      <c r="H59" s="190"/>
      <c r="I59" s="190"/>
      <c r="J59" s="874"/>
      <c r="K59" s="875"/>
      <c r="L59" s="875"/>
      <c r="M59" s="875"/>
    </row>
    <row r="60" spans="1:13">
      <c r="A60" s="191">
        <f>+A55+1</f>
        <v>47</v>
      </c>
      <c r="C60" s="192" t="s">
        <v>321</v>
      </c>
      <c r="D60" s="152" t="s">
        <v>59</v>
      </c>
      <c r="E60" s="164" t="s">
        <v>291</v>
      </c>
      <c r="F60" s="193" t="s">
        <v>292</v>
      </c>
      <c r="G60" s="194"/>
      <c r="J60" s="195"/>
      <c r="K60" s="195"/>
      <c r="L60" s="195"/>
      <c r="M60" s="195"/>
    </row>
    <row r="61" spans="1:13">
      <c r="A61" s="191">
        <f t="shared" ref="A61:A74" si="5">+A60+1</f>
        <v>48</v>
      </c>
      <c r="C61" s="152" t="s">
        <v>293</v>
      </c>
      <c r="D61" s="196" t="s">
        <v>322</v>
      </c>
      <c r="E61" s="197">
        <f>+$E$8</f>
        <v>2024</v>
      </c>
      <c r="F61" s="198">
        <v>5047794.4322098512</v>
      </c>
      <c r="G61" s="199"/>
      <c r="H61" s="200"/>
      <c r="I61" s="201"/>
      <c r="J61" s="195"/>
      <c r="K61" s="195"/>
      <c r="L61" s="195"/>
      <c r="M61" s="195"/>
    </row>
    <row r="62" spans="1:13">
      <c r="A62" s="191">
        <f t="shared" si="5"/>
        <v>49</v>
      </c>
      <c r="C62" s="202" t="s">
        <v>295</v>
      </c>
      <c r="D62" s="152" t="s">
        <v>296</v>
      </c>
      <c r="E62" s="197">
        <f>+$E$9</f>
        <v>2025</v>
      </c>
      <c r="F62" s="198">
        <v>5210636.1090716012</v>
      </c>
      <c r="G62" s="203"/>
      <c r="J62" s="195"/>
      <c r="K62" s="195"/>
      <c r="L62" s="195"/>
      <c r="M62" s="195"/>
    </row>
    <row r="63" spans="1:13">
      <c r="A63" s="191">
        <f t="shared" si="5"/>
        <v>50</v>
      </c>
      <c r="B63" s="164"/>
      <c r="C63" s="202" t="s">
        <v>297</v>
      </c>
      <c r="D63" s="152" t="s">
        <v>296</v>
      </c>
      <c r="E63" s="197">
        <f t="shared" ref="E63:E73" si="6">+$E$9</f>
        <v>2025</v>
      </c>
      <c r="F63" s="198">
        <v>5373477.7859333511</v>
      </c>
      <c r="G63" s="199"/>
      <c r="H63" s="200"/>
      <c r="I63" s="200"/>
      <c r="J63" s="195"/>
      <c r="K63" s="195"/>
      <c r="L63" s="195"/>
      <c r="M63" s="195"/>
    </row>
    <row r="64" spans="1:13">
      <c r="A64" s="191">
        <f t="shared" si="5"/>
        <v>51</v>
      </c>
      <c r="B64" s="164"/>
      <c r="C64" s="202" t="s">
        <v>298</v>
      </c>
      <c r="D64" s="152" t="s">
        <v>296</v>
      </c>
      <c r="E64" s="197">
        <f t="shared" si="6"/>
        <v>2025</v>
      </c>
      <c r="F64" s="198">
        <v>5536319.4627951011</v>
      </c>
      <c r="G64" s="199"/>
      <c r="H64" s="200"/>
      <c r="I64" s="200"/>
      <c r="J64" s="195"/>
      <c r="K64" s="195"/>
      <c r="L64" s="195"/>
      <c r="M64" s="195"/>
    </row>
    <row r="65" spans="1:13">
      <c r="A65" s="191">
        <f t="shared" si="5"/>
        <v>52</v>
      </c>
      <c r="C65" s="202" t="s">
        <v>299</v>
      </c>
      <c r="D65" s="152" t="s">
        <v>296</v>
      </c>
      <c r="E65" s="197">
        <f t="shared" si="6"/>
        <v>2025</v>
      </c>
      <c r="F65" s="198">
        <v>5699161.1396568511</v>
      </c>
      <c r="G65" s="199"/>
      <c r="H65" s="200"/>
      <c r="I65" s="200"/>
      <c r="J65" s="195"/>
      <c r="K65" s="195"/>
      <c r="L65" s="195"/>
      <c r="M65" s="195"/>
    </row>
    <row r="66" spans="1:13">
      <c r="A66" s="191">
        <f t="shared" si="5"/>
        <v>53</v>
      </c>
      <c r="C66" s="202" t="s">
        <v>300</v>
      </c>
      <c r="D66" s="152" t="s">
        <v>296</v>
      </c>
      <c r="E66" s="197">
        <f t="shared" si="6"/>
        <v>2025</v>
      </c>
      <c r="F66" s="198">
        <v>5862002.816518601</v>
      </c>
    </row>
    <row r="67" spans="1:13">
      <c r="A67" s="191">
        <f t="shared" si="5"/>
        <v>54</v>
      </c>
      <c r="C67" s="202" t="s">
        <v>301</v>
      </c>
      <c r="D67" s="152" t="s">
        <v>296</v>
      </c>
      <c r="E67" s="197">
        <f t="shared" si="6"/>
        <v>2025</v>
      </c>
      <c r="F67" s="198">
        <v>6024844.493380351</v>
      </c>
      <c r="G67" s="199"/>
      <c r="H67" s="200"/>
      <c r="I67" s="201"/>
      <c r="J67" s="195"/>
      <c r="K67" s="195"/>
      <c r="L67" s="195"/>
      <c r="M67" s="195"/>
    </row>
    <row r="68" spans="1:13">
      <c r="A68" s="191">
        <f t="shared" si="5"/>
        <v>55</v>
      </c>
      <c r="C68" s="202" t="s">
        <v>302</v>
      </c>
      <c r="D68" s="152" t="s">
        <v>296</v>
      </c>
      <c r="E68" s="197">
        <f t="shared" si="6"/>
        <v>2025</v>
      </c>
      <c r="F68" s="198">
        <v>6187686.170242101</v>
      </c>
      <c r="G68" s="203"/>
      <c r="J68" s="195"/>
      <c r="K68" s="195"/>
      <c r="L68" s="195"/>
      <c r="M68" s="195"/>
    </row>
    <row r="69" spans="1:13">
      <c r="A69" s="191">
        <f t="shared" si="5"/>
        <v>56</v>
      </c>
      <c r="B69" s="164"/>
      <c r="C69" s="202" t="s">
        <v>303</v>
      </c>
      <c r="D69" s="152" t="s">
        <v>296</v>
      </c>
      <c r="E69" s="197">
        <f t="shared" si="6"/>
        <v>2025</v>
      </c>
      <c r="F69" s="198">
        <v>6350527.8471038509</v>
      </c>
      <c r="G69" s="199"/>
      <c r="H69" s="200"/>
      <c r="I69" s="200"/>
      <c r="J69" s="195"/>
      <c r="K69" s="195"/>
      <c r="L69" s="195"/>
      <c r="M69" s="195"/>
    </row>
    <row r="70" spans="1:13">
      <c r="A70" s="191">
        <f t="shared" si="5"/>
        <v>57</v>
      </c>
      <c r="B70" s="164"/>
      <c r="C70" s="202" t="s">
        <v>304</v>
      </c>
      <c r="D70" s="152" t="s">
        <v>296</v>
      </c>
      <c r="E70" s="197">
        <f t="shared" si="6"/>
        <v>2025</v>
      </c>
      <c r="F70" s="198">
        <v>6513369.5239656009</v>
      </c>
      <c r="G70" s="199"/>
      <c r="H70" s="200"/>
      <c r="I70" s="200"/>
      <c r="J70" s="195"/>
      <c r="K70" s="195"/>
      <c r="L70" s="195"/>
      <c r="M70" s="195"/>
    </row>
    <row r="71" spans="1:13">
      <c r="A71" s="191">
        <f t="shared" si="5"/>
        <v>58</v>
      </c>
      <c r="C71" s="202" t="s">
        <v>311</v>
      </c>
      <c r="D71" s="152" t="s">
        <v>296</v>
      </c>
      <c r="E71" s="197">
        <f t="shared" si="6"/>
        <v>2025</v>
      </c>
      <c r="F71" s="198">
        <v>6676211.2008273508</v>
      </c>
      <c r="G71" s="199"/>
      <c r="H71" s="200"/>
      <c r="I71" s="200"/>
      <c r="J71" s="195"/>
      <c r="K71" s="195"/>
      <c r="L71" s="195"/>
      <c r="M71" s="195"/>
    </row>
    <row r="72" spans="1:13">
      <c r="A72" s="191">
        <f t="shared" si="5"/>
        <v>59</v>
      </c>
      <c r="C72" s="202" t="s">
        <v>306</v>
      </c>
      <c r="D72" s="152" t="s">
        <v>296</v>
      </c>
      <c r="E72" s="197">
        <f t="shared" si="6"/>
        <v>2025</v>
      </c>
      <c r="F72" s="198">
        <v>6839052.8776891008</v>
      </c>
      <c r="H72" s="200"/>
      <c r="I72" s="200"/>
      <c r="J72" s="195"/>
      <c r="K72" s="195"/>
      <c r="L72" s="195"/>
      <c r="M72" s="195"/>
    </row>
    <row r="73" spans="1:13">
      <c r="A73" s="191">
        <f t="shared" si="5"/>
        <v>60</v>
      </c>
      <c r="C73" s="204" t="s">
        <v>293</v>
      </c>
      <c r="D73" s="205" t="s">
        <v>323</v>
      </c>
      <c r="E73" s="206">
        <f t="shared" si="6"/>
        <v>2025</v>
      </c>
      <c r="F73" s="207">
        <v>7001894.5545508508</v>
      </c>
      <c r="G73" s="212"/>
    </row>
    <row r="74" spans="1:13">
      <c r="A74" s="191">
        <f t="shared" si="5"/>
        <v>61</v>
      </c>
      <c r="C74" s="209" t="s">
        <v>324</v>
      </c>
      <c r="D74" s="152" t="str">
        <f>"(sum lines "&amp;A61&amp;"-"&amp;A73&amp;") /13"</f>
        <v>(sum lines 48-60) /13</v>
      </c>
      <c r="E74" s="213"/>
      <c r="F74" s="211">
        <f>SUM(F61:F73)/13</f>
        <v>6024844.4933803519</v>
      </c>
      <c r="G74" s="208"/>
      <c r="J74" s="195"/>
      <c r="K74" s="195"/>
      <c r="L74" s="195"/>
      <c r="M74" s="195"/>
    </row>
    <row r="75" spans="1:13">
      <c r="A75" s="191"/>
      <c r="B75" s="164"/>
      <c r="C75" s="202"/>
      <c r="E75" s="213"/>
      <c r="F75" s="214"/>
      <c r="G75" s="199"/>
      <c r="H75" s="200"/>
      <c r="I75" s="200"/>
      <c r="J75" s="195"/>
      <c r="K75" s="195"/>
      <c r="L75" s="195"/>
      <c r="M75" s="195"/>
    </row>
    <row r="76" spans="1:13">
      <c r="A76" s="191">
        <f>+A74+1</f>
        <v>62</v>
      </c>
      <c r="C76" s="192" t="s">
        <v>325</v>
      </c>
      <c r="D76" s="152" t="s">
        <v>59</v>
      </c>
      <c r="E76" s="215"/>
      <c r="F76" s="216"/>
      <c r="J76" s="195"/>
      <c r="K76" s="195"/>
      <c r="L76" s="195"/>
      <c r="M76" s="195"/>
    </row>
    <row r="77" spans="1:13">
      <c r="A77" s="191">
        <f>+A76+1</f>
        <v>63</v>
      </c>
      <c r="C77" s="152" t="s">
        <v>293</v>
      </c>
      <c r="D77" s="196" t="s">
        <v>326</v>
      </c>
      <c r="E77" s="197">
        <f>+$E$8</f>
        <v>2024</v>
      </c>
      <c r="F77" s="198">
        <v>636366.10973168898</v>
      </c>
      <c r="G77" s="199"/>
      <c r="H77" s="200"/>
      <c r="I77" s="201"/>
      <c r="J77" s="195"/>
      <c r="K77" s="195"/>
      <c r="L77" s="195"/>
      <c r="M77" s="195"/>
    </row>
    <row r="78" spans="1:13">
      <c r="A78" s="191">
        <f t="shared" ref="A78:A89" si="7">+A77+1</f>
        <v>64</v>
      </c>
      <c r="C78" s="202" t="s">
        <v>295</v>
      </c>
      <c r="D78" s="152" t="s">
        <v>296</v>
      </c>
      <c r="E78" s="197">
        <f>+$E$9</f>
        <v>2025</v>
      </c>
      <c r="F78" s="198">
        <v>654479.33889835561</v>
      </c>
      <c r="G78" s="199"/>
      <c r="H78" s="200"/>
      <c r="I78" s="201"/>
      <c r="J78" s="195"/>
      <c r="K78" s="195"/>
      <c r="L78" s="195"/>
      <c r="M78" s="195"/>
    </row>
    <row r="79" spans="1:13">
      <c r="A79" s="191">
        <f t="shared" si="7"/>
        <v>65</v>
      </c>
      <c r="C79" s="202" t="s">
        <v>297</v>
      </c>
      <c r="D79" s="152" t="s">
        <v>296</v>
      </c>
      <c r="E79" s="197">
        <f t="shared" ref="E79:E89" si="8">+$E$9</f>
        <v>2025</v>
      </c>
      <c r="F79" s="198">
        <v>672592.56806502223</v>
      </c>
      <c r="G79" s="199"/>
      <c r="H79" s="200"/>
      <c r="I79" s="201"/>
      <c r="J79" s="195"/>
      <c r="K79" s="195"/>
      <c r="L79" s="195"/>
      <c r="M79" s="195"/>
    </row>
    <row r="80" spans="1:13">
      <c r="A80" s="191">
        <f t="shared" si="7"/>
        <v>66</v>
      </c>
      <c r="C80" s="202" t="s">
        <v>298</v>
      </c>
      <c r="D80" s="152" t="s">
        <v>296</v>
      </c>
      <c r="E80" s="197">
        <f t="shared" si="8"/>
        <v>2025</v>
      </c>
      <c r="F80" s="198">
        <v>690705.79723168886</v>
      </c>
      <c r="G80" s="199"/>
      <c r="H80" s="200"/>
      <c r="I80" s="201"/>
      <c r="J80" s="195"/>
      <c r="K80" s="195"/>
      <c r="L80" s="195"/>
      <c r="M80" s="195"/>
    </row>
    <row r="81" spans="1:13">
      <c r="A81" s="191">
        <f t="shared" si="7"/>
        <v>67</v>
      </c>
      <c r="C81" s="202" t="s">
        <v>299</v>
      </c>
      <c r="D81" s="152" t="s">
        <v>296</v>
      </c>
      <c r="E81" s="197">
        <f t="shared" si="8"/>
        <v>2025</v>
      </c>
      <c r="F81" s="198">
        <v>708819.02639835549</v>
      </c>
      <c r="G81" s="199"/>
      <c r="H81" s="200"/>
      <c r="I81" s="201"/>
      <c r="J81" s="195"/>
      <c r="K81" s="195"/>
      <c r="L81" s="195"/>
      <c r="M81" s="195"/>
    </row>
    <row r="82" spans="1:13">
      <c r="A82" s="191">
        <f t="shared" si="7"/>
        <v>68</v>
      </c>
      <c r="C82" s="202" t="s">
        <v>300</v>
      </c>
      <c r="D82" s="152" t="s">
        <v>296</v>
      </c>
      <c r="E82" s="197">
        <f t="shared" si="8"/>
        <v>2025</v>
      </c>
      <c r="F82" s="198">
        <v>726932.25556502212</v>
      </c>
      <c r="G82" s="199"/>
      <c r="H82" s="200"/>
      <c r="I82" s="201"/>
      <c r="J82" s="195"/>
      <c r="K82" s="195"/>
      <c r="L82" s="195"/>
      <c r="M82" s="195"/>
    </row>
    <row r="83" spans="1:13">
      <c r="A83" s="191">
        <f t="shared" si="7"/>
        <v>69</v>
      </c>
      <c r="C83" s="202" t="s">
        <v>301</v>
      </c>
      <c r="D83" s="152" t="s">
        <v>296</v>
      </c>
      <c r="E83" s="197">
        <f t="shared" si="8"/>
        <v>2025</v>
      </c>
      <c r="F83" s="198">
        <v>745045.48473168875</v>
      </c>
      <c r="G83" s="199"/>
      <c r="H83" s="200"/>
      <c r="I83" s="201"/>
      <c r="J83" s="195"/>
      <c r="K83" s="195"/>
      <c r="L83" s="195"/>
      <c r="M83" s="195"/>
    </row>
    <row r="84" spans="1:13">
      <c r="A84" s="191">
        <f t="shared" si="7"/>
        <v>70</v>
      </c>
      <c r="C84" s="202" t="s">
        <v>302</v>
      </c>
      <c r="D84" s="152" t="s">
        <v>296</v>
      </c>
      <c r="E84" s="197">
        <f t="shared" si="8"/>
        <v>2025</v>
      </c>
      <c r="F84" s="198">
        <v>763158.71389835537</v>
      </c>
      <c r="G84" s="199"/>
      <c r="H84" s="200"/>
      <c r="I84" s="201"/>
      <c r="J84" s="195"/>
      <c r="K84" s="195"/>
      <c r="L84" s="195"/>
      <c r="M84" s="195"/>
    </row>
    <row r="85" spans="1:13">
      <c r="A85" s="191">
        <f t="shared" si="7"/>
        <v>71</v>
      </c>
      <c r="C85" s="202" t="s">
        <v>303</v>
      </c>
      <c r="D85" s="152" t="s">
        <v>296</v>
      </c>
      <c r="E85" s="197">
        <f t="shared" si="8"/>
        <v>2025</v>
      </c>
      <c r="F85" s="198">
        <v>781271.943065022</v>
      </c>
      <c r="G85" s="199"/>
      <c r="H85" s="200"/>
      <c r="I85" s="201"/>
      <c r="J85" s="195"/>
      <c r="K85" s="195"/>
      <c r="L85" s="195"/>
      <c r="M85" s="195"/>
    </row>
    <row r="86" spans="1:13">
      <c r="A86" s="191">
        <f t="shared" si="7"/>
        <v>72</v>
      </c>
      <c r="C86" s="202" t="s">
        <v>304</v>
      </c>
      <c r="D86" s="152" t="s">
        <v>296</v>
      </c>
      <c r="E86" s="197">
        <f t="shared" si="8"/>
        <v>2025</v>
      </c>
      <c r="F86" s="198">
        <v>799385.17223168863</v>
      </c>
      <c r="G86" s="199"/>
      <c r="H86" s="200"/>
      <c r="I86" s="201"/>
      <c r="J86" s="195"/>
      <c r="K86" s="195"/>
      <c r="L86" s="195"/>
      <c r="M86" s="195"/>
    </row>
    <row r="87" spans="1:13">
      <c r="A87" s="191">
        <f t="shared" si="7"/>
        <v>73</v>
      </c>
      <c r="C87" s="202" t="s">
        <v>305</v>
      </c>
      <c r="D87" s="152" t="s">
        <v>296</v>
      </c>
      <c r="E87" s="197">
        <f t="shared" si="8"/>
        <v>2025</v>
      </c>
      <c r="F87" s="198">
        <v>817498.40139835526</v>
      </c>
      <c r="G87" s="199"/>
      <c r="H87" s="200"/>
      <c r="I87" s="201"/>
      <c r="J87" s="195"/>
      <c r="K87" s="195"/>
      <c r="L87" s="195"/>
      <c r="M87" s="195"/>
    </row>
    <row r="88" spans="1:13">
      <c r="A88" s="191">
        <f t="shared" si="7"/>
        <v>74</v>
      </c>
      <c r="C88" s="202" t="s">
        <v>306</v>
      </c>
      <c r="D88" s="152" t="s">
        <v>296</v>
      </c>
      <c r="E88" s="197">
        <f t="shared" si="8"/>
        <v>2025</v>
      </c>
      <c r="F88" s="198">
        <v>835611.63056502189</v>
      </c>
      <c r="G88" s="199"/>
      <c r="H88" s="200"/>
      <c r="I88" s="201"/>
      <c r="J88" s="195"/>
      <c r="K88" s="195"/>
      <c r="L88" s="195"/>
      <c r="M88" s="195"/>
    </row>
    <row r="89" spans="1:13">
      <c r="A89" s="191">
        <f t="shared" si="7"/>
        <v>75</v>
      </c>
      <c r="C89" s="204" t="s">
        <v>293</v>
      </c>
      <c r="D89" s="205" t="s">
        <v>327</v>
      </c>
      <c r="E89" s="206">
        <f t="shared" si="8"/>
        <v>2025</v>
      </c>
      <c r="F89" s="207">
        <v>853724.85973168851</v>
      </c>
      <c r="G89" s="212"/>
    </row>
    <row r="90" spans="1:13">
      <c r="A90" s="191">
        <f>+A89+1</f>
        <v>76</v>
      </c>
      <c r="C90" s="209" t="s">
        <v>328</v>
      </c>
      <c r="D90" s="152" t="str">
        <f>"(sum lines "&amp;A77&amp;" - "&amp;A89&amp;") /13"</f>
        <v>(sum lines 63 - 75) /13</v>
      </c>
      <c r="E90" s="213"/>
      <c r="F90" s="211">
        <f>SUM(F77:F89)/13</f>
        <v>745045.48473168863</v>
      </c>
      <c r="G90" s="208"/>
      <c r="J90" s="195"/>
      <c r="K90" s="195"/>
      <c r="L90" s="195"/>
      <c r="M90" s="195"/>
    </row>
    <row r="91" spans="1:13">
      <c r="A91" s="191"/>
      <c r="C91" s="202"/>
      <c r="E91" s="218"/>
      <c r="F91" s="214"/>
      <c r="G91" s="199"/>
      <c r="H91" s="200"/>
      <c r="I91" s="200"/>
      <c r="J91" s="195"/>
      <c r="K91" s="195"/>
      <c r="L91" s="195"/>
      <c r="M91" s="195"/>
    </row>
    <row r="92" spans="1:13">
      <c r="A92" s="191">
        <f>+A90+1</f>
        <v>77</v>
      </c>
      <c r="C92" s="192" t="s">
        <v>329</v>
      </c>
      <c r="D92" s="152" t="s">
        <v>59</v>
      </c>
      <c r="E92" s="215"/>
      <c r="F92" s="216"/>
      <c r="J92" s="195"/>
      <c r="K92" s="195"/>
      <c r="L92" s="195"/>
      <c r="M92" s="195"/>
    </row>
    <row r="93" spans="1:13">
      <c r="A93" s="191">
        <f>+A92+1</f>
        <v>78</v>
      </c>
      <c r="C93" s="152" t="s">
        <v>293</v>
      </c>
      <c r="D93" s="196" t="s">
        <v>330</v>
      </c>
      <c r="E93" s="197">
        <f>+$E$8</f>
        <v>2024</v>
      </c>
      <c r="F93" s="198">
        <v>142004.15805845943</v>
      </c>
      <c r="G93" s="199"/>
      <c r="H93" s="200"/>
      <c r="I93" s="201"/>
      <c r="J93" s="195"/>
      <c r="K93" s="195"/>
      <c r="L93" s="195"/>
      <c r="M93" s="195"/>
    </row>
    <row r="94" spans="1:13">
      <c r="A94" s="191">
        <f t="shared" ref="A94:A105" si="9">+A93+1</f>
        <v>79</v>
      </c>
      <c r="C94" s="202" t="s">
        <v>295</v>
      </c>
      <c r="D94" s="152" t="s">
        <v>296</v>
      </c>
      <c r="E94" s="197">
        <f>+$E$9</f>
        <v>2025</v>
      </c>
      <c r="F94" s="198">
        <v>146744.37671262611</v>
      </c>
      <c r="G94" s="199"/>
      <c r="H94" s="200"/>
      <c r="I94" s="201"/>
      <c r="J94" s="195"/>
      <c r="K94" s="195"/>
      <c r="L94" s="195"/>
      <c r="M94" s="195"/>
    </row>
    <row r="95" spans="1:13">
      <c r="A95" s="191">
        <f t="shared" si="9"/>
        <v>80</v>
      </c>
      <c r="C95" s="202" t="s">
        <v>297</v>
      </c>
      <c r="D95" s="152" t="s">
        <v>296</v>
      </c>
      <c r="E95" s="197">
        <f t="shared" ref="E95:E105" si="10">+$E$9</f>
        <v>2025</v>
      </c>
      <c r="F95" s="198">
        <v>151484.59536679278</v>
      </c>
      <c r="G95" s="199"/>
      <c r="H95" s="200"/>
      <c r="I95" s="201"/>
      <c r="J95" s="195"/>
      <c r="K95" s="195"/>
      <c r="L95" s="195"/>
      <c r="M95" s="195"/>
    </row>
    <row r="96" spans="1:13">
      <c r="A96" s="191">
        <f t="shared" si="9"/>
        <v>81</v>
      </c>
      <c r="C96" s="202" t="s">
        <v>298</v>
      </c>
      <c r="D96" s="152" t="s">
        <v>296</v>
      </c>
      <c r="E96" s="197">
        <f t="shared" si="10"/>
        <v>2025</v>
      </c>
      <c r="F96" s="198">
        <v>156224.81402095946</v>
      </c>
      <c r="G96" s="199"/>
      <c r="H96" s="200"/>
      <c r="I96" s="201"/>
      <c r="J96" s="195"/>
      <c r="K96" s="195"/>
      <c r="L96" s="195"/>
      <c r="M96" s="195"/>
    </row>
    <row r="97" spans="1:13">
      <c r="A97" s="191">
        <f t="shared" si="9"/>
        <v>82</v>
      </c>
      <c r="C97" s="202" t="s">
        <v>299</v>
      </c>
      <c r="D97" s="152" t="s">
        <v>296</v>
      </c>
      <c r="E97" s="197">
        <f t="shared" si="10"/>
        <v>2025</v>
      </c>
      <c r="F97" s="198">
        <v>160965.03267512613</v>
      </c>
      <c r="G97" s="199"/>
      <c r="H97" s="200"/>
      <c r="I97" s="201"/>
      <c r="J97" s="195"/>
      <c r="K97" s="195"/>
      <c r="L97" s="195"/>
      <c r="M97" s="195"/>
    </row>
    <row r="98" spans="1:13">
      <c r="A98" s="191">
        <f t="shared" si="9"/>
        <v>83</v>
      </c>
      <c r="C98" s="202" t="s">
        <v>300</v>
      </c>
      <c r="D98" s="152" t="s">
        <v>296</v>
      </c>
      <c r="E98" s="197">
        <f t="shared" si="10"/>
        <v>2025</v>
      </c>
      <c r="F98" s="198">
        <v>165705.25132929281</v>
      </c>
      <c r="G98" s="199"/>
      <c r="H98" s="200"/>
      <c r="I98" s="201"/>
      <c r="J98" s="195"/>
      <c r="K98" s="195"/>
      <c r="L98" s="195"/>
      <c r="M98" s="195"/>
    </row>
    <row r="99" spans="1:13">
      <c r="A99" s="191">
        <f t="shared" si="9"/>
        <v>84</v>
      </c>
      <c r="C99" s="202" t="s">
        <v>301</v>
      </c>
      <c r="D99" s="152" t="s">
        <v>296</v>
      </c>
      <c r="E99" s="197">
        <f t="shared" si="10"/>
        <v>2025</v>
      </c>
      <c r="F99" s="198">
        <v>170445.46998345948</v>
      </c>
      <c r="G99" s="199"/>
      <c r="H99" s="200"/>
      <c r="I99" s="201"/>
      <c r="J99" s="195"/>
      <c r="K99" s="195"/>
      <c r="L99" s="195"/>
      <c r="M99" s="195"/>
    </row>
    <row r="100" spans="1:13">
      <c r="A100" s="191">
        <f t="shared" si="9"/>
        <v>85</v>
      </c>
      <c r="C100" s="202" t="s">
        <v>302</v>
      </c>
      <c r="D100" s="152" t="s">
        <v>296</v>
      </c>
      <c r="E100" s="197">
        <f t="shared" si="10"/>
        <v>2025</v>
      </c>
      <c r="F100" s="198">
        <v>175185.68863762615</v>
      </c>
      <c r="G100" s="199"/>
      <c r="H100" s="200"/>
      <c r="I100" s="201"/>
      <c r="J100" s="195"/>
      <c r="K100" s="195"/>
      <c r="L100" s="195"/>
      <c r="M100" s="195"/>
    </row>
    <row r="101" spans="1:13">
      <c r="A101" s="191">
        <f t="shared" si="9"/>
        <v>86</v>
      </c>
      <c r="C101" s="202" t="s">
        <v>303</v>
      </c>
      <c r="D101" s="152" t="s">
        <v>296</v>
      </c>
      <c r="E101" s="197">
        <f t="shared" si="10"/>
        <v>2025</v>
      </c>
      <c r="F101" s="198">
        <v>179925.90729179283</v>
      </c>
      <c r="G101" s="199"/>
      <c r="H101" s="200"/>
      <c r="I101" s="201"/>
      <c r="J101" s="195"/>
      <c r="K101" s="195"/>
      <c r="L101" s="195"/>
      <c r="M101" s="195"/>
    </row>
    <row r="102" spans="1:13">
      <c r="A102" s="191">
        <f t="shared" si="9"/>
        <v>87</v>
      </c>
      <c r="C102" s="202" t="s">
        <v>304</v>
      </c>
      <c r="D102" s="152" t="s">
        <v>296</v>
      </c>
      <c r="E102" s="197">
        <f t="shared" si="10"/>
        <v>2025</v>
      </c>
      <c r="F102" s="198">
        <v>184666.1259459595</v>
      </c>
      <c r="G102" s="199"/>
      <c r="H102" s="200"/>
      <c r="I102" s="201"/>
      <c r="J102" s="195"/>
      <c r="K102" s="195"/>
      <c r="L102" s="195"/>
      <c r="M102" s="195"/>
    </row>
    <row r="103" spans="1:13">
      <c r="A103" s="191">
        <f t="shared" si="9"/>
        <v>88</v>
      </c>
      <c r="C103" s="202" t="s">
        <v>305</v>
      </c>
      <c r="D103" s="152" t="s">
        <v>296</v>
      </c>
      <c r="E103" s="197">
        <f t="shared" si="10"/>
        <v>2025</v>
      </c>
      <c r="F103" s="198">
        <v>189406.34460012618</v>
      </c>
      <c r="G103" s="199"/>
      <c r="H103" s="200"/>
      <c r="I103" s="201"/>
      <c r="J103" s="195"/>
      <c r="K103" s="195"/>
      <c r="L103" s="195"/>
      <c r="M103" s="195"/>
    </row>
    <row r="104" spans="1:13">
      <c r="A104" s="191">
        <f t="shared" si="9"/>
        <v>89</v>
      </c>
      <c r="C104" s="202" t="s">
        <v>306</v>
      </c>
      <c r="D104" s="152" t="s">
        <v>296</v>
      </c>
      <c r="E104" s="197">
        <f t="shared" si="10"/>
        <v>2025</v>
      </c>
      <c r="F104" s="198">
        <v>194146.56325429285</v>
      </c>
      <c r="G104" s="199"/>
      <c r="H104" s="200"/>
      <c r="I104" s="201"/>
      <c r="J104" s="195"/>
      <c r="K104" s="195"/>
      <c r="L104" s="195"/>
      <c r="M104" s="195"/>
    </row>
    <row r="105" spans="1:13">
      <c r="A105" s="191">
        <f t="shared" si="9"/>
        <v>90</v>
      </c>
      <c r="C105" s="204" t="s">
        <v>293</v>
      </c>
      <c r="D105" s="205" t="s">
        <v>331</v>
      </c>
      <c r="E105" s="206">
        <f t="shared" si="10"/>
        <v>2025</v>
      </c>
      <c r="F105" s="207">
        <v>198886.78190845952</v>
      </c>
      <c r="G105" s="212"/>
    </row>
    <row r="106" spans="1:13">
      <c r="A106" s="191">
        <f>+A105+1</f>
        <v>91</v>
      </c>
      <c r="C106" s="209" t="s">
        <v>332</v>
      </c>
      <c r="D106" s="152" t="str">
        <f>"(sum lines "&amp;A93&amp;" - "&amp;A105&amp;") /13"</f>
        <v>(sum lines 78 - 90) /13</v>
      </c>
      <c r="E106" s="213"/>
      <c r="F106" s="211">
        <f>SUM(F93:F105)/13</f>
        <v>170445.46998345948</v>
      </c>
      <c r="G106" s="208"/>
      <c r="J106" s="195"/>
      <c r="K106" s="195"/>
      <c r="L106" s="195"/>
      <c r="M106" s="195"/>
    </row>
    <row r="107" spans="1:13">
      <c r="A107" s="191"/>
      <c r="C107" s="202"/>
      <c r="D107" s="196"/>
      <c r="E107" s="218"/>
      <c r="F107" s="229"/>
    </row>
    <row r="108" spans="1:13">
      <c r="A108" s="191">
        <f>+A106+1</f>
        <v>92</v>
      </c>
      <c r="C108" s="192" t="s">
        <v>333</v>
      </c>
      <c r="D108" s="196" t="str">
        <f>"(sum lines "&amp;A74&amp;", "&amp;A90&amp;", and "&amp;A106&amp;")"</f>
        <v>(sum lines 61, 76, and 91)</v>
      </c>
      <c r="E108" s="210"/>
      <c r="F108" s="220">
        <f>F74+F90+F106</f>
        <v>6940335.4480954995</v>
      </c>
      <c r="G108" s="221"/>
      <c r="H108" s="230"/>
    </row>
    <row r="109" spans="1:13">
      <c r="B109" s="164"/>
      <c r="C109" s="202"/>
      <c r="E109" s="219"/>
      <c r="F109" s="202"/>
      <c r="G109" s="221"/>
      <c r="H109" s="200"/>
      <c r="I109" s="200"/>
      <c r="J109" s="195"/>
      <c r="K109" s="195"/>
      <c r="L109" s="195"/>
      <c r="M109" s="195"/>
    </row>
    <row r="110" spans="1:13">
      <c r="B110" s="164"/>
      <c r="C110" s="202" t="s">
        <v>334</v>
      </c>
      <c r="E110" s="219"/>
      <c r="F110" s="202"/>
      <c r="G110" s="221"/>
      <c r="H110" s="200"/>
      <c r="I110" s="200"/>
      <c r="J110" s="195"/>
      <c r="K110" s="195"/>
      <c r="L110" s="195"/>
      <c r="M110" s="195"/>
    </row>
    <row r="111" spans="1:13">
      <c r="C111" s="152" t="s">
        <v>335</v>
      </c>
    </row>
    <row r="163" spans="8:8">
      <c r="H163" s="231"/>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416CD-1D81-4BDC-A720-6292EAA8BCA7}">
  <sheetPr>
    <pageSetUpPr fitToPage="1"/>
  </sheetPr>
  <dimension ref="A1:M184"/>
  <sheetViews>
    <sheetView view="pageBreakPreview" topLeftCell="A51" zoomScaleNormal="75" zoomScaleSheetLayoutView="100" workbookViewId="0">
      <selection activeCell="E187" sqref="E187"/>
    </sheetView>
  </sheetViews>
  <sheetFormatPr defaultColWidth="8.88671875" defaultRowHeight="15.75"/>
  <cols>
    <col min="1" max="1" width="5" style="164" customWidth="1"/>
    <col min="2" max="2" width="3.21875" style="152" customWidth="1"/>
    <col min="3" max="3" width="48.21875" style="152" customWidth="1"/>
    <col min="4" max="4" width="22" style="152" customWidth="1"/>
    <col min="5" max="5" width="13.6640625" style="152" customWidth="1"/>
    <col min="6" max="6" width="18.109375" style="152" customWidth="1"/>
    <col min="7" max="7" width="15.21875" style="152" customWidth="1"/>
    <col min="8" max="8" width="11.88671875" style="152" customWidth="1"/>
    <col min="9" max="9" width="13" style="152" customWidth="1"/>
    <col min="10" max="10" width="10.6640625" style="152" customWidth="1"/>
    <col min="11" max="11" width="9" style="152" customWidth="1"/>
    <col min="12" max="12" width="7.5546875" style="152" customWidth="1"/>
    <col min="13" max="13" width="8.109375" style="152" bestFit="1" customWidth="1"/>
    <col min="14" max="16384" width="8.88671875" style="165"/>
  </cols>
  <sheetData>
    <row r="1" spans="1:13">
      <c r="B1" s="164"/>
      <c r="C1" s="202"/>
      <c r="E1" s="219"/>
      <c r="F1" s="202"/>
      <c r="G1" s="232"/>
      <c r="H1" s="164"/>
      <c r="I1" s="164"/>
      <c r="J1" s="233"/>
      <c r="K1" s="233"/>
      <c r="L1" s="233"/>
      <c r="M1" s="233"/>
    </row>
    <row r="2" spans="1:13" ht="16.5" thickBot="1">
      <c r="A2" s="189" t="str">
        <f>+'Appendix III'!C80</f>
        <v>ADJUSTMENTS TO RATE BASE       (Note A)</v>
      </c>
      <c r="K2" s="152" t="s">
        <v>3</v>
      </c>
    </row>
    <row r="3" spans="1:13" ht="50.25" customHeight="1" thickBot="1">
      <c r="A3" s="882" t="s">
        <v>289</v>
      </c>
      <c r="B3" s="883"/>
      <c r="C3" s="883"/>
      <c r="D3" s="883"/>
      <c r="E3" s="883"/>
      <c r="F3" s="884"/>
      <c r="G3" s="234"/>
      <c r="H3" s="234"/>
      <c r="I3" s="234"/>
      <c r="J3" s="885" t="s">
        <v>336</v>
      </c>
      <c r="K3" s="886"/>
      <c r="L3" s="886"/>
      <c r="M3" s="887"/>
    </row>
    <row r="4" spans="1:13">
      <c r="A4" s="235"/>
      <c r="B4" s="236"/>
      <c r="C4" s="237"/>
      <c r="D4" s="238"/>
      <c r="E4" s="236" t="s">
        <v>337</v>
      </c>
      <c r="F4" s="236" t="s">
        <v>338</v>
      </c>
      <c r="G4" s="239" t="s">
        <v>339</v>
      </c>
      <c r="H4" s="240"/>
      <c r="I4" s="241"/>
      <c r="J4" s="242"/>
      <c r="K4" s="243"/>
      <c r="L4" s="243"/>
      <c r="M4" s="244"/>
    </row>
    <row r="5" spans="1:13" s="4" customFormat="1">
      <c r="A5" s="245">
        <f>+'2 - Cost Support '!A108+1</f>
        <v>93</v>
      </c>
      <c r="B5" s="5"/>
      <c r="C5" s="5" t="s">
        <v>340</v>
      </c>
      <c r="D5" s="5" t="s">
        <v>341</v>
      </c>
      <c r="E5" s="246">
        <v>0</v>
      </c>
      <c r="F5" s="246">
        <v>0</v>
      </c>
      <c r="G5" s="247">
        <f>+E5/2+F5/2</f>
        <v>0</v>
      </c>
      <c r="H5" s="248"/>
      <c r="I5" s="8"/>
      <c r="J5" s="8"/>
      <c r="K5" s="8"/>
      <c r="L5" s="46"/>
      <c r="M5" s="249"/>
    </row>
    <row r="6" spans="1:13" s="4" customFormat="1">
      <c r="A6" s="245"/>
      <c r="B6" s="5"/>
      <c r="C6" s="5"/>
      <c r="D6" s="5"/>
      <c r="E6" s="8"/>
      <c r="F6" s="8"/>
      <c r="G6" s="247"/>
      <c r="H6" s="248"/>
      <c r="I6" s="8"/>
      <c r="J6" s="8"/>
      <c r="K6" s="8"/>
      <c r="L6" s="46"/>
      <c r="M6" s="249"/>
    </row>
    <row r="7" spans="1:13" s="4" customFormat="1">
      <c r="A7" s="245">
        <f>+A5+1</f>
        <v>94</v>
      </c>
      <c r="B7" s="5"/>
      <c r="C7" s="5" t="s">
        <v>92</v>
      </c>
      <c r="D7" s="8" t="s">
        <v>342</v>
      </c>
      <c r="E7" s="250">
        <v>0</v>
      </c>
      <c r="F7" s="250">
        <v>0</v>
      </c>
      <c r="G7" s="251">
        <f>+E7/2+F7/2</f>
        <v>0</v>
      </c>
      <c r="H7" s="248"/>
      <c r="I7" s="8"/>
      <c r="J7" s="8"/>
      <c r="K7" s="8"/>
      <c r="L7" s="46"/>
      <c r="M7" s="249"/>
    </row>
    <row r="8" spans="1:13" s="4" customFormat="1">
      <c r="A8" s="245"/>
      <c r="B8" s="5"/>
      <c r="C8" s="5" t="s">
        <v>343</v>
      </c>
      <c r="D8" s="8"/>
      <c r="E8" s="8"/>
      <c r="F8" s="8"/>
      <c r="G8" s="247"/>
      <c r="H8" s="248"/>
      <c r="I8" s="8"/>
      <c r="J8" s="5"/>
      <c r="K8" s="8"/>
      <c r="L8" s="46"/>
      <c r="M8" s="249"/>
    </row>
    <row r="9" spans="1:13" s="4" customFormat="1">
      <c r="A9" s="245">
        <f>+A7+1</f>
        <v>95</v>
      </c>
      <c r="B9" s="5"/>
      <c r="C9" s="5" t="s">
        <v>344</v>
      </c>
      <c r="D9" s="8"/>
      <c r="E9" s="8"/>
      <c r="F9" s="252">
        <v>0</v>
      </c>
      <c r="G9" s="247"/>
      <c r="H9" s="248"/>
      <c r="I9" s="8"/>
      <c r="J9" s="5"/>
      <c r="K9" s="8"/>
      <c r="L9" s="46"/>
      <c r="M9" s="249"/>
    </row>
    <row r="10" spans="1:13" s="4" customFormat="1">
      <c r="A10" s="245"/>
      <c r="B10" s="5"/>
      <c r="C10" s="5" t="str">
        <f>+C8</f>
        <v xml:space="preserve">  (recovery of abandoned plant requires a FERC order approving the amount and recovery period and Attachment 11 being completed)</v>
      </c>
      <c r="D10" s="8"/>
      <c r="E10" s="8"/>
      <c r="F10" s="8"/>
      <c r="G10" s="247"/>
      <c r="H10" s="248"/>
      <c r="I10" s="8"/>
      <c r="J10" s="5"/>
      <c r="K10" s="8"/>
      <c r="L10" s="46"/>
      <c r="M10" s="249"/>
    </row>
    <row r="11" spans="1:13" s="4" customFormat="1">
      <c r="A11" s="245">
        <f>+A9+1</f>
        <v>96</v>
      </c>
      <c r="B11" s="5"/>
      <c r="C11" s="5" t="s">
        <v>345</v>
      </c>
      <c r="D11" s="5"/>
      <c r="E11" s="232"/>
      <c r="F11" s="232"/>
      <c r="G11" s="247"/>
      <c r="H11" s="248"/>
      <c r="I11" s="8"/>
      <c r="J11" s="8"/>
      <c r="K11" s="8"/>
      <c r="L11" s="46"/>
      <c r="M11" s="249"/>
    </row>
    <row r="12" spans="1:13" s="4" customFormat="1">
      <c r="A12" s="245"/>
      <c r="B12" s="5"/>
      <c r="C12" s="5" t="s">
        <v>346</v>
      </c>
      <c r="D12" s="5"/>
      <c r="E12" s="164" t="s">
        <v>291</v>
      </c>
      <c r="F12" s="253" t="s">
        <v>292</v>
      </c>
      <c r="G12" s="254"/>
      <c r="H12" s="248"/>
      <c r="I12" s="8"/>
      <c r="J12" s="8"/>
      <c r="K12" s="8"/>
      <c r="L12" s="46"/>
      <c r="M12" s="249"/>
    </row>
    <row r="13" spans="1:13" s="4" customFormat="1">
      <c r="A13" s="191">
        <f>+A11+1</f>
        <v>97</v>
      </c>
      <c r="B13" s="164"/>
      <c r="C13" s="152" t="s">
        <v>293</v>
      </c>
      <c r="D13" s="8" t="s">
        <v>347</v>
      </c>
      <c r="E13" s="255">
        <v>2024</v>
      </c>
      <c r="F13" s="256">
        <v>108038.24</v>
      </c>
      <c r="G13" s="5"/>
      <c r="H13" s="5"/>
      <c r="I13" s="8"/>
      <c r="J13" s="8"/>
      <c r="K13" s="8"/>
      <c r="L13" s="46"/>
      <c r="M13" s="249"/>
    </row>
    <row r="14" spans="1:13" s="4" customFormat="1">
      <c r="A14" s="191">
        <f t="shared" ref="A14:A26" si="0">+A13+1</f>
        <v>98</v>
      </c>
      <c r="B14" s="164"/>
      <c r="C14" s="202" t="s">
        <v>295</v>
      </c>
      <c r="D14" s="152" t="s">
        <v>348</v>
      </c>
      <c r="E14" s="255">
        <v>2025</v>
      </c>
      <c r="F14" s="256">
        <v>108038.24</v>
      </c>
      <c r="G14" s="5"/>
      <c r="H14" s="5"/>
      <c r="I14" s="8"/>
      <c r="J14" s="8"/>
      <c r="K14" s="8"/>
      <c r="L14" s="46"/>
      <c r="M14" s="249"/>
    </row>
    <row r="15" spans="1:13" s="4" customFormat="1">
      <c r="A15" s="191">
        <f t="shared" si="0"/>
        <v>99</v>
      </c>
      <c r="B15" s="164"/>
      <c r="C15" s="202" t="s">
        <v>297</v>
      </c>
      <c r="D15" s="152" t="s">
        <v>348</v>
      </c>
      <c r="E15" s="255">
        <v>2025</v>
      </c>
      <c r="F15" s="256">
        <v>108038.24</v>
      </c>
      <c r="G15" s="5"/>
      <c r="H15" s="5"/>
      <c r="I15" s="8"/>
      <c r="J15" s="8"/>
      <c r="K15" s="8"/>
      <c r="L15" s="46"/>
      <c r="M15" s="249"/>
    </row>
    <row r="16" spans="1:13" s="4" customFormat="1">
      <c r="A16" s="191">
        <f t="shared" si="0"/>
        <v>100</v>
      </c>
      <c r="B16" s="164"/>
      <c r="C16" s="202" t="s">
        <v>298</v>
      </c>
      <c r="D16" s="152" t="s">
        <v>348</v>
      </c>
      <c r="E16" s="255">
        <v>2025</v>
      </c>
      <c r="F16" s="256">
        <v>108038.24</v>
      </c>
      <c r="G16" s="5"/>
      <c r="H16" s="5"/>
      <c r="I16" s="8"/>
      <c r="J16" s="8"/>
      <c r="K16" s="8"/>
      <c r="L16" s="46"/>
      <c r="M16" s="249"/>
    </row>
    <row r="17" spans="1:13" s="4" customFormat="1">
      <c r="A17" s="191">
        <f t="shared" si="0"/>
        <v>101</v>
      </c>
      <c r="B17" s="164"/>
      <c r="C17" s="202" t="s">
        <v>299</v>
      </c>
      <c r="D17" s="152" t="s">
        <v>348</v>
      </c>
      <c r="E17" s="255">
        <v>2025</v>
      </c>
      <c r="F17" s="256">
        <v>108038.24</v>
      </c>
      <c r="G17" s="5"/>
      <c r="H17" s="5"/>
      <c r="I17" s="8"/>
      <c r="J17" s="8"/>
      <c r="K17" s="8"/>
      <c r="L17" s="46"/>
      <c r="M17" s="249"/>
    </row>
    <row r="18" spans="1:13" s="4" customFormat="1">
      <c r="A18" s="191">
        <f t="shared" si="0"/>
        <v>102</v>
      </c>
      <c r="B18" s="164"/>
      <c r="C18" s="202" t="s">
        <v>300</v>
      </c>
      <c r="D18" s="152" t="s">
        <v>348</v>
      </c>
      <c r="E18" s="255">
        <v>2025</v>
      </c>
      <c r="F18" s="256">
        <v>108038.24</v>
      </c>
      <c r="G18" s="5"/>
      <c r="H18" s="5"/>
      <c r="I18" s="8"/>
      <c r="J18" s="8"/>
      <c r="K18" s="8"/>
      <c r="L18" s="46"/>
      <c r="M18" s="249"/>
    </row>
    <row r="19" spans="1:13" s="4" customFormat="1">
      <c r="A19" s="191">
        <f t="shared" si="0"/>
        <v>103</v>
      </c>
      <c r="B19" s="164"/>
      <c r="C19" s="202" t="s">
        <v>301</v>
      </c>
      <c r="D19" s="152" t="s">
        <v>348</v>
      </c>
      <c r="E19" s="255">
        <v>2025</v>
      </c>
      <c r="F19" s="256">
        <v>108038.24</v>
      </c>
      <c r="G19" s="5"/>
      <c r="H19" s="5"/>
      <c r="I19" s="8"/>
      <c r="J19" s="8"/>
      <c r="K19" s="8"/>
      <c r="L19" s="46"/>
      <c r="M19" s="249"/>
    </row>
    <row r="20" spans="1:13" s="4" customFormat="1">
      <c r="A20" s="191">
        <f t="shared" si="0"/>
        <v>104</v>
      </c>
      <c r="B20" s="164"/>
      <c r="C20" s="202" t="s">
        <v>302</v>
      </c>
      <c r="D20" s="152" t="s">
        <v>348</v>
      </c>
      <c r="E20" s="255">
        <v>2025</v>
      </c>
      <c r="F20" s="256">
        <v>108038.24</v>
      </c>
      <c r="G20" s="5"/>
      <c r="H20" s="5"/>
      <c r="I20" s="8"/>
      <c r="J20" s="8"/>
      <c r="K20" s="8"/>
      <c r="L20" s="46"/>
      <c r="M20" s="249"/>
    </row>
    <row r="21" spans="1:13" s="4" customFormat="1">
      <c r="A21" s="191">
        <f t="shared" si="0"/>
        <v>105</v>
      </c>
      <c r="B21" s="164"/>
      <c r="C21" s="202" t="s">
        <v>303</v>
      </c>
      <c r="D21" s="152" t="s">
        <v>348</v>
      </c>
      <c r="E21" s="255">
        <v>2025</v>
      </c>
      <c r="F21" s="256">
        <v>108038.24</v>
      </c>
      <c r="G21" s="5"/>
      <c r="H21" s="5"/>
      <c r="I21" s="8"/>
      <c r="J21" s="8"/>
      <c r="K21" s="8"/>
      <c r="L21" s="46"/>
      <c r="M21" s="249"/>
    </row>
    <row r="22" spans="1:13" s="4" customFormat="1">
      <c r="A22" s="191">
        <f t="shared" si="0"/>
        <v>106</v>
      </c>
      <c r="B22" s="164"/>
      <c r="C22" s="202" t="s">
        <v>304</v>
      </c>
      <c r="D22" s="152" t="s">
        <v>348</v>
      </c>
      <c r="E22" s="255">
        <v>2025</v>
      </c>
      <c r="F22" s="256">
        <v>108038.24</v>
      </c>
      <c r="G22" s="5"/>
      <c r="H22" s="5"/>
      <c r="I22" s="8"/>
      <c r="J22" s="8"/>
      <c r="K22" s="8"/>
      <c r="L22" s="46"/>
      <c r="M22" s="249"/>
    </row>
    <row r="23" spans="1:13" s="4" customFormat="1">
      <c r="A23" s="191">
        <f t="shared" si="0"/>
        <v>107</v>
      </c>
      <c r="B23" s="164"/>
      <c r="C23" s="202" t="s">
        <v>305</v>
      </c>
      <c r="D23" s="152" t="s">
        <v>348</v>
      </c>
      <c r="E23" s="255">
        <v>2025</v>
      </c>
      <c r="F23" s="256">
        <v>108038.24</v>
      </c>
      <c r="G23" s="5"/>
      <c r="H23" s="5"/>
      <c r="I23" s="8"/>
      <c r="J23" s="8"/>
      <c r="K23" s="8"/>
      <c r="L23" s="46"/>
      <c r="M23" s="249"/>
    </row>
    <row r="24" spans="1:13" s="4" customFormat="1">
      <c r="A24" s="191">
        <f t="shared" si="0"/>
        <v>108</v>
      </c>
      <c r="B24" s="164"/>
      <c r="C24" s="202" t="s">
        <v>306</v>
      </c>
      <c r="D24" s="152" t="s">
        <v>348</v>
      </c>
      <c r="E24" s="255">
        <v>2025</v>
      </c>
      <c r="F24" s="256">
        <v>108038.24</v>
      </c>
      <c r="G24" s="5"/>
      <c r="H24" s="5"/>
      <c r="I24" s="8"/>
      <c r="J24" s="8"/>
      <c r="K24" s="8"/>
      <c r="L24" s="46"/>
      <c r="M24" s="249"/>
    </row>
    <row r="25" spans="1:13" s="4" customFormat="1">
      <c r="A25" s="191">
        <f t="shared" si="0"/>
        <v>109</v>
      </c>
      <c r="B25" s="164"/>
      <c r="C25" s="204" t="s">
        <v>293</v>
      </c>
      <c r="D25" s="205" t="s">
        <v>349</v>
      </c>
      <c r="E25" s="257">
        <v>2025</v>
      </c>
      <c r="F25" s="258">
        <v>108038.24</v>
      </c>
      <c r="G25" s="5"/>
      <c r="H25" s="5"/>
      <c r="I25" s="8"/>
      <c r="J25" s="8"/>
      <c r="K25" s="8"/>
      <c r="L25" s="46"/>
      <c r="M25" s="249"/>
    </row>
    <row r="26" spans="1:13" s="4" customFormat="1">
      <c r="A26" s="191">
        <f t="shared" si="0"/>
        <v>110</v>
      </c>
      <c r="B26" s="164"/>
      <c r="C26" s="209" t="s">
        <v>350</v>
      </c>
      <c r="D26" s="152" t="str">
        <f>"(sum lines "&amp;A13&amp;"-"&amp;A25&amp;") /13"</f>
        <v>(sum lines 97-109) /13</v>
      </c>
      <c r="E26" s="210"/>
      <c r="F26" s="211">
        <f>SUM(F13:F25)/13</f>
        <v>108038.24</v>
      </c>
      <c r="G26" s="5"/>
      <c r="H26" s="5"/>
      <c r="I26" s="8"/>
      <c r="J26" s="8"/>
      <c r="K26" s="8"/>
      <c r="L26" s="46"/>
      <c r="M26" s="249"/>
    </row>
    <row r="27" spans="1:13" s="4" customFormat="1">
      <c r="A27" s="245"/>
      <c r="B27" s="5"/>
      <c r="C27" s="5"/>
      <c r="D27" s="5"/>
      <c r="E27" s="8"/>
      <c r="F27" s="8"/>
      <c r="G27" s="254"/>
      <c r="H27" s="248"/>
      <c r="I27" s="8"/>
      <c r="J27" s="8"/>
      <c r="K27" s="8"/>
      <c r="L27" s="46"/>
      <c r="M27" s="249"/>
    </row>
    <row r="28" spans="1:13">
      <c r="A28" s="191"/>
      <c r="B28" s="164"/>
      <c r="C28" s="202" t="s">
        <v>351</v>
      </c>
      <c r="D28" s="259"/>
      <c r="E28" s="202"/>
      <c r="G28" s="260"/>
      <c r="H28" s="261"/>
      <c r="I28" s="262"/>
      <c r="J28" s="263"/>
      <c r="K28" s="233"/>
      <c r="L28" s="233"/>
      <c r="M28" s="264"/>
    </row>
    <row r="29" spans="1:13" ht="16.5" thickBot="1">
      <c r="A29" s="191"/>
      <c r="B29" s="164"/>
      <c r="C29" s="202"/>
      <c r="D29" s="259"/>
      <c r="E29" s="202"/>
      <c r="G29" s="260"/>
      <c r="H29" s="261"/>
      <c r="I29" s="262"/>
      <c r="J29" s="263"/>
      <c r="K29" s="233"/>
      <c r="L29" s="233"/>
      <c r="M29" s="264"/>
    </row>
    <row r="30" spans="1:13">
      <c r="A30" s="235">
        <f>+A26+1</f>
        <v>111</v>
      </c>
      <c r="B30" s="236"/>
      <c r="C30" s="265" t="s">
        <v>352</v>
      </c>
      <c r="D30" s="266" t="s">
        <v>59</v>
      </c>
      <c r="E30" s="236" t="s">
        <v>291</v>
      </c>
      <c r="F30" s="267" t="s">
        <v>353</v>
      </c>
      <c r="G30" s="268" t="s">
        <v>354</v>
      </c>
      <c r="H30" s="269" t="s">
        <v>48</v>
      </c>
      <c r="I30" s="270"/>
      <c r="J30" s="242"/>
      <c r="K30" s="243"/>
      <c r="L30" s="243"/>
      <c r="M30" s="244"/>
    </row>
    <row r="31" spans="1:13">
      <c r="A31" s="191">
        <f>+A30+1</f>
        <v>112</v>
      </c>
      <c r="B31" s="164"/>
      <c r="C31" s="152" t="s">
        <v>293</v>
      </c>
      <c r="D31" s="196" t="s">
        <v>355</v>
      </c>
      <c r="E31" s="255">
        <v>2024</v>
      </c>
      <c r="F31" s="271">
        <v>0</v>
      </c>
      <c r="G31" s="272">
        <f>'8 - CWIP'!H8+'8 - CWIP'!H9</f>
        <v>15073617.915000001</v>
      </c>
      <c r="H31" s="271">
        <f>+F31+G31</f>
        <v>15073617.915000001</v>
      </c>
      <c r="I31" s="261"/>
      <c r="J31" s="263"/>
      <c r="K31" s="233"/>
      <c r="L31" s="233"/>
      <c r="M31" s="264"/>
    </row>
    <row r="32" spans="1:13">
      <c r="A32" s="191">
        <f t="shared" ref="A32:A44" si="1">+A31+1</f>
        <v>113</v>
      </c>
      <c r="B32" s="164"/>
      <c r="C32" s="202" t="s">
        <v>295</v>
      </c>
      <c r="D32" s="152" t="s">
        <v>356</v>
      </c>
      <c r="E32" s="255">
        <v>2025</v>
      </c>
      <c r="F32" s="271">
        <v>0</v>
      </c>
      <c r="G32" s="272">
        <f>'8 - CWIP'!I8+'8 - CWIP'!I9</f>
        <v>17459127.426865421</v>
      </c>
      <c r="H32" s="271">
        <f t="shared" ref="H32:H43" si="2">+F32+G32</f>
        <v>17459127.426865421</v>
      </c>
      <c r="I32" s="261"/>
      <c r="J32" s="263"/>
      <c r="K32" s="233"/>
      <c r="L32" s="233"/>
      <c r="M32" s="264"/>
    </row>
    <row r="33" spans="1:13">
      <c r="A33" s="191">
        <f t="shared" si="1"/>
        <v>114</v>
      </c>
      <c r="B33" s="164"/>
      <c r="C33" s="202" t="s">
        <v>297</v>
      </c>
      <c r="D33" s="152" t="s">
        <v>356</v>
      </c>
      <c r="E33" s="255">
        <v>2025</v>
      </c>
      <c r="F33" s="271">
        <v>0</v>
      </c>
      <c r="G33" s="272">
        <f>'8 - CWIP'!J8+'8 - CWIP'!J9</f>
        <v>20308557.606230848</v>
      </c>
      <c r="H33" s="271">
        <f t="shared" si="2"/>
        <v>20308557.606230848</v>
      </c>
      <c r="I33" s="261"/>
      <c r="J33" s="263"/>
      <c r="K33" s="233"/>
      <c r="L33" s="233"/>
      <c r="M33" s="264"/>
    </row>
    <row r="34" spans="1:13">
      <c r="A34" s="191">
        <f t="shared" si="1"/>
        <v>115</v>
      </c>
      <c r="B34" s="164"/>
      <c r="C34" s="202" t="s">
        <v>298</v>
      </c>
      <c r="D34" s="152" t="s">
        <v>356</v>
      </c>
      <c r="E34" s="255">
        <v>2025</v>
      </c>
      <c r="F34" s="271">
        <v>0</v>
      </c>
      <c r="G34" s="272">
        <f>'8 - CWIP'!K8+'8 - CWIP'!K9</f>
        <v>24890307.360596269</v>
      </c>
      <c r="H34" s="271">
        <f t="shared" si="2"/>
        <v>24890307.360596269</v>
      </c>
      <c r="I34" s="261"/>
      <c r="J34" s="263"/>
      <c r="K34" s="233"/>
      <c r="L34" s="233"/>
      <c r="M34" s="264"/>
    </row>
    <row r="35" spans="1:13">
      <c r="A35" s="191">
        <f t="shared" si="1"/>
        <v>116</v>
      </c>
      <c r="B35" s="164"/>
      <c r="C35" s="202" t="s">
        <v>299</v>
      </c>
      <c r="D35" s="152" t="s">
        <v>356</v>
      </c>
      <c r="E35" s="255">
        <v>2025</v>
      </c>
      <c r="F35" s="271">
        <v>0</v>
      </c>
      <c r="G35" s="272">
        <f>'8 - CWIP'!L8+'8 - CWIP'!L9</f>
        <v>27408893.002461694</v>
      </c>
      <c r="H35" s="271">
        <f t="shared" si="2"/>
        <v>27408893.002461694</v>
      </c>
      <c r="I35" s="261"/>
      <c r="J35" s="273"/>
      <c r="K35" s="273"/>
      <c r="L35" s="273"/>
      <c r="M35" s="273"/>
    </row>
    <row r="36" spans="1:13">
      <c r="A36" s="191">
        <f t="shared" si="1"/>
        <v>117</v>
      </c>
      <c r="B36" s="164"/>
      <c r="C36" s="202" t="s">
        <v>300</v>
      </c>
      <c r="D36" s="152" t="s">
        <v>356</v>
      </c>
      <c r="E36" s="255">
        <v>2025</v>
      </c>
      <c r="F36" s="271">
        <v>0</v>
      </c>
      <c r="G36" s="272">
        <f>'8 - CWIP'!M8+'8 - CWIP'!M9</f>
        <v>29908241.529327117</v>
      </c>
      <c r="H36" s="271">
        <f t="shared" si="2"/>
        <v>29908241.529327117</v>
      </c>
      <c r="I36" s="261"/>
      <c r="J36" s="263"/>
      <c r="K36" s="233"/>
      <c r="L36" s="233"/>
      <c r="M36" s="264"/>
    </row>
    <row r="37" spans="1:13" ht="15.6" customHeight="1">
      <c r="A37" s="191">
        <f t="shared" si="1"/>
        <v>118</v>
      </c>
      <c r="B37" s="164"/>
      <c r="C37" s="202" t="s">
        <v>301</v>
      </c>
      <c r="D37" s="152" t="s">
        <v>356</v>
      </c>
      <c r="E37" s="255">
        <v>2025</v>
      </c>
      <c r="F37" s="271">
        <v>0</v>
      </c>
      <c r="G37" s="274">
        <f>'8 - CWIP'!N8+'8 - CWIP'!N9</f>
        <v>32365741.236192539</v>
      </c>
      <c r="H37" s="271">
        <f t="shared" si="2"/>
        <v>32365741.236192539</v>
      </c>
      <c r="I37" s="261"/>
      <c r="J37" s="263"/>
      <c r="K37" s="233"/>
      <c r="L37" s="233"/>
      <c r="M37" s="264"/>
    </row>
    <row r="38" spans="1:13" ht="15.6" customHeight="1">
      <c r="A38" s="191">
        <f t="shared" si="1"/>
        <v>119</v>
      </c>
      <c r="B38" s="164"/>
      <c r="C38" s="202" t="s">
        <v>302</v>
      </c>
      <c r="D38" s="152" t="s">
        <v>356</v>
      </c>
      <c r="E38" s="255">
        <v>2025</v>
      </c>
      <c r="F38" s="271">
        <v>0</v>
      </c>
      <c r="G38" s="274">
        <f>'8 - CWIP'!O8+'8 - CWIP'!O9</f>
        <v>34807028.738057964</v>
      </c>
      <c r="H38" s="271">
        <f t="shared" si="2"/>
        <v>34807028.738057964</v>
      </c>
      <c r="I38" s="261"/>
      <c r="J38" s="263"/>
      <c r="K38" s="233"/>
      <c r="L38" s="233"/>
      <c r="M38" s="264"/>
    </row>
    <row r="39" spans="1:13" ht="15.6" customHeight="1">
      <c r="A39" s="191">
        <f t="shared" si="1"/>
        <v>120</v>
      </c>
      <c r="B39" s="164"/>
      <c r="C39" s="202" t="s">
        <v>303</v>
      </c>
      <c r="D39" s="152" t="s">
        <v>356</v>
      </c>
      <c r="E39" s="255">
        <v>2025</v>
      </c>
      <c r="F39" s="271">
        <v>0</v>
      </c>
      <c r="G39" s="274">
        <f>'8 - CWIP'!P8+'8 - CWIP'!P9</f>
        <v>37076896.133477017</v>
      </c>
      <c r="H39" s="271">
        <f t="shared" si="2"/>
        <v>37076896.133477017</v>
      </c>
      <c r="I39" s="261"/>
      <c r="J39" s="263"/>
      <c r="K39" s="233"/>
      <c r="L39" s="233"/>
      <c r="M39" s="264"/>
    </row>
    <row r="40" spans="1:13" ht="15.6" customHeight="1">
      <c r="A40" s="191">
        <f t="shared" si="1"/>
        <v>121</v>
      </c>
      <c r="B40" s="164"/>
      <c r="C40" s="202" t="s">
        <v>304</v>
      </c>
      <c r="D40" s="152" t="s">
        <v>356</v>
      </c>
      <c r="E40" s="255">
        <v>2025</v>
      </c>
      <c r="F40" s="275">
        <v>0</v>
      </c>
      <c r="G40" s="274">
        <f>'8 - CWIP'!Q8+'8 - CWIP'!Q9</f>
        <v>39392281.851506069</v>
      </c>
      <c r="H40" s="271">
        <f t="shared" si="2"/>
        <v>39392281.851506069</v>
      </c>
      <c r="I40" s="261"/>
      <c r="J40" s="263"/>
      <c r="K40" s="233"/>
      <c r="L40" s="233"/>
      <c r="M40" s="264"/>
    </row>
    <row r="41" spans="1:13" ht="15.6" customHeight="1">
      <c r="A41" s="191">
        <f t="shared" si="1"/>
        <v>122</v>
      </c>
      <c r="B41" s="164"/>
      <c r="C41" s="202" t="s">
        <v>305</v>
      </c>
      <c r="D41" s="152" t="s">
        <v>356</v>
      </c>
      <c r="E41" s="255">
        <v>2025</v>
      </c>
      <c r="F41" s="275">
        <v>0</v>
      </c>
      <c r="G41" s="274">
        <f>'8 - CWIP'!R8+'8 - CWIP'!R9</f>
        <v>41712954.214755118</v>
      </c>
      <c r="H41" s="271">
        <f t="shared" si="2"/>
        <v>41712954.214755118</v>
      </c>
      <c r="I41" s="261"/>
      <c r="J41" s="263"/>
      <c r="K41" s="233"/>
      <c r="L41" s="233"/>
      <c r="M41" s="264"/>
    </row>
    <row r="42" spans="1:13" ht="15.6" customHeight="1">
      <c r="A42" s="191">
        <f t="shared" si="1"/>
        <v>123</v>
      </c>
      <c r="B42" s="164"/>
      <c r="C42" s="202" t="s">
        <v>306</v>
      </c>
      <c r="D42" s="152" t="s">
        <v>356</v>
      </c>
      <c r="E42" s="255">
        <v>2025</v>
      </c>
      <c r="F42" s="275">
        <v>0</v>
      </c>
      <c r="G42" s="274">
        <f>'8 - CWIP'!S8+'8 - CWIP'!S9</f>
        <v>44001869.900614172</v>
      </c>
      <c r="H42" s="271">
        <f t="shared" si="2"/>
        <v>44001869.900614172</v>
      </c>
      <c r="I42" s="261"/>
      <c r="J42" s="263"/>
      <c r="K42" s="233"/>
      <c r="L42" s="233"/>
      <c r="M42" s="264"/>
    </row>
    <row r="43" spans="1:13" ht="15.6" customHeight="1">
      <c r="A43" s="191">
        <f t="shared" si="1"/>
        <v>124</v>
      </c>
      <c r="B43" s="164"/>
      <c r="C43" s="204" t="s">
        <v>293</v>
      </c>
      <c r="D43" s="205" t="s">
        <v>357</v>
      </c>
      <c r="E43" s="257">
        <v>2025</v>
      </c>
      <c r="F43" s="276">
        <v>0</v>
      </c>
      <c r="G43" s="277">
        <f>'8 - CWIP'!T8+'8 - CWIP'!T9</f>
        <v>46147463.925168216</v>
      </c>
      <c r="H43" s="278">
        <f t="shared" si="2"/>
        <v>46147463.925168216</v>
      </c>
      <c r="I43" s="261"/>
      <c r="J43" s="263"/>
      <c r="K43" s="233"/>
      <c r="L43" s="233"/>
      <c r="M43" s="264"/>
    </row>
    <row r="44" spans="1:13">
      <c r="A44" s="191">
        <f t="shared" si="1"/>
        <v>125</v>
      </c>
      <c r="B44" s="164"/>
      <c r="C44" s="209" t="s">
        <v>358</v>
      </c>
      <c r="D44" s="152" t="str">
        <f>"(sum lines "&amp;A31&amp;"-"&amp;A43&amp;") /13"</f>
        <v>(sum lines 112-124) /13</v>
      </c>
      <c r="E44" s="210"/>
      <c r="F44" s="232">
        <f>SUM(F31:F43)/13</f>
        <v>0</v>
      </c>
      <c r="G44" s="279">
        <f>SUM(G31:G43)/13</f>
        <v>31580998.526173268</v>
      </c>
      <c r="H44" s="232">
        <f>SUM(H31:H43)/13</f>
        <v>31580998.526173268</v>
      </c>
      <c r="I44" s="261"/>
      <c r="J44" s="263"/>
      <c r="K44" s="233"/>
      <c r="L44" s="233"/>
      <c r="M44" s="264"/>
    </row>
    <row r="45" spans="1:13">
      <c r="A45" s="191"/>
      <c r="B45" s="164"/>
      <c r="C45" s="209"/>
      <c r="E45" s="210"/>
      <c r="F45" s="232"/>
      <c r="G45" s="279"/>
      <c r="H45" s="232"/>
      <c r="I45" s="261"/>
      <c r="J45" s="263"/>
      <c r="K45" s="233"/>
      <c r="L45" s="233"/>
      <c r="M45" s="264"/>
    </row>
    <row r="46" spans="1:13" ht="16.5" thickBot="1">
      <c r="A46" s="222"/>
      <c r="B46" s="223"/>
      <c r="C46" s="280" t="s">
        <v>359</v>
      </c>
      <c r="D46" s="281"/>
      <c r="E46" s="224"/>
      <c r="F46" s="225"/>
      <c r="G46" s="282"/>
      <c r="H46" s="283"/>
      <c r="I46" s="284"/>
      <c r="J46" s="285"/>
      <c r="K46" s="286"/>
      <c r="L46" s="286"/>
      <c r="M46" s="287"/>
    </row>
    <row r="47" spans="1:13">
      <c r="A47" s="191"/>
      <c r="B47" s="164"/>
      <c r="C47" s="209"/>
      <c r="D47" s="259"/>
      <c r="E47" s="202"/>
      <c r="F47" s="216"/>
      <c r="G47" s="288"/>
      <c r="H47" s="261"/>
      <c r="I47" s="262"/>
      <c r="J47" s="263"/>
      <c r="K47" s="233"/>
      <c r="L47" s="233"/>
      <c r="M47" s="264"/>
    </row>
    <row r="48" spans="1:13" ht="16.5" thickBot="1">
      <c r="A48" s="222"/>
      <c r="B48" s="225"/>
      <c r="C48" s="225"/>
      <c r="D48" s="225"/>
      <c r="E48" s="225"/>
      <c r="F48" s="289"/>
      <c r="G48" s="290"/>
      <c r="H48" s="283"/>
      <c r="I48" s="284"/>
      <c r="J48" s="888"/>
      <c r="K48" s="888"/>
      <c r="L48" s="888"/>
      <c r="M48" s="889"/>
    </row>
    <row r="49" spans="1:13" ht="16.5" thickBot="1">
      <c r="A49" s="189" t="str">
        <f>+C51</f>
        <v>LAND HELD FOR FUTURE USE</v>
      </c>
    </row>
    <row r="50" spans="1:13" ht="50.25" customHeight="1">
      <c r="A50" s="890" t="s">
        <v>289</v>
      </c>
      <c r="B50" s="891"/>
      <c r="C50" s="891"/>
      <c r="D50" s="891"/>
      <c r="E50" s="891"/>
      <c r="F50" s="891"/>
      <c r="G50" s="291" t="s">
        <v>360</v>
      </c>
      <c r="H50" s="292"/>
      <c r="I50" s="292"/>
      <c r="J50" s="892"/>
      <c r="K50" s="893"/>
      <c r="L50" s="893"/>
      <c r="M50" s="894"/>
    </row>
    <row r="51" spans="1:13">
      <c r="A51" s="191">
        <f>+A44+1</f>
        <v>126</v>
      </c>
      <c r="B51" s="164"/>
      <c r="C51" s="209" t="str">
        <f>+'Appendix III'!C89</f>
        <v>LAND HELD FOR FUTURE USE</v>
      </c>
      <c r="D51" s="259"/>
      <c r="E51" s="202" t="s">
        <v>361</v>
      </c>
      <c r="G51" s="293">
        <f>+'10 - Future Use'!E18</f>
        <v>2036137.7800000003</v>
      </c>
      <c r="H51" s="232"/>
      <c r="I51" s="262"/>
      <c r="J51" s="263"/>
      <c r="K51" s="233"/>
      <c r="L51" s="233"/>
      <c r="M51" s="264"/>
    </row>
    <row r="52" spans="1:13">
      <c r="A52" s="191"/>
      <c r="B52" s="294"/>
      <c r="C52" s="294"/>
      <c r="D52" s="294"/>
      <c r="G52" s="295"/>
      <c r="H52" s="232"/>
      <c r="I52" s="262"/>
      <c r="J52" s="263"/>
      <c r="K52" s="233"/>
      <c r="L52" s="233"/>
      <c r="M52" s="264"/>
    </row>
    <row r="53" spans="1:13" ht="16.5" thickBot="1">
      <c r="A53" s="222" t="s">
        <v>362</v>
      </c>
      <c r="B53" s="225"/>
      <c r="C53" s="280" t="s">
        <v>363</v>
      </c>
      <c r="D53" s="225"/>
      <c r="E53" s="225"/>
      <c r="F53" s="296"/>
      <c r="G53" s="879" t="s">
        <v>364</v>
      </c>
      <c r="H53" s="880"/>
      <c r="I53" s="880"/>
      <c r="J53" s="880"/>
      <c r="K53" s="880"/>
      <c r="L53" s="880"/>
      <c r="M53" s="881"/>
    </row>
    <row r="54" spans="1:13">
      <c r="B54" s="164"/>
      <c r="C54" s="209"/>
      <c r="D54" s="259"/>
      <c r="E54" s="219"/>
      <c r="F54" s="202"/>
      <c r="G54" s="297"/>
      <c r="H54" s="297"/>
      <c r="I54" s="297"/>
      <c r="J54" s="233"/>
      <c r="K54" s="233"/>
      <c r="L54" s="233"/>
      <c r="M54" s="233"/>
    </row>
    <row r="55" spans="1:13" ht="12" customHeight="1"/>
    <row r="56" spans="1:13" ht="16.5" thickBot="1">
      <c r="A56" s="189" t="s">
        <v>365</v>
      </c>
    </row>
    <row r="57" spans="1:13">
      <c r="A57" s="890"/>
      <c r="B57" s="891"/>
      <c r="C57" s="891"/>
      <c r="D57" s="891"/>
      <c r="E57" s="891"/>
      <c r="F57" s="891"/>
      <c r="G57" s="292"/>
      <c r="H57" s="292"/>
      <c r="I57" s="292"/>
      <c r="J57" s="892"/>
      <c r="K57" s="900"/>
      <c r="L57" s="900"/>
      <c r="M57" s="901"/>
    </row>
    <row r="58" spans="1:13">
      <c r="A58" s="191">
        <f>+A51+1</f>
        <v>127</v>
      </c>
      <c r="B58" s="154"/>
      <c r="D58" s="298"/>
      <c r="F58" s="299"/>
      <c r="G58" s="233"/>
      <c r="J58" s="902"/>
      <c r="K58" s="903"/>
      <c r="L58" s="903"/>
      <c r="M58" s="904"/>
    </row>
    <row r="59" spans="1:13">
      <c r="A59" s="191"/>
      <c r="B59" s="300"/>
      <c r="C59" s="301" t="s">
        <v>366</v>
      </c>
      <c r="D59" s="302"/>
      <c r="E59" s="302"/>
      <c r="F59" s="302"/>
      <c r="G59" s="302"/>
      <c r="H59" s="302"/>
      <c r="I59" s="303"/>
      <c r="J59" s="303"/>
      <c r="K59" s="23"/>
      <c r="L59" s="23"/>
      <c r="M59" s="304"/>
    </row>
    <row r="60" spans="1:13">
      <c r="A60" s="191"/>
      <c r="B60" s="300"/>
      <c r="C60" s="305" t="s">
        <v>173</v>
      </c>
      <c r="D60" s="305" t="s">
        <v>367</v>
      </c>
      <c r="E60" s="305"/>
      <c r="F60" s="305"/>
      <c r="G60" s="305"/>
      <c r="H60" s="305"/>
      <c r="I60" s="305"/>
      <c r="J60" s="305"/>
      <c r="K60" s="23"/>
      <c r="L60" s="23"/>
      <c r="M60" s="304"/>
    </row>
    <row r="61" spans="1:13">
      <c r="A61" s="191"/>
      <c r="B61" s="300"/>
      <c r="C61" s="306" t="s">
        <v>368</v>
      </c>
      <c r="D61" s="307" t="s">
        <v>369</v>
      </c>
      <c r="E61" s="308"/>
      <c r="F61" s="308"/>
      <c r="G61" s="308"/>
      <c r="H61" s="308"/>
      <c r="I61" s="307"/>
      <c r="K61" s="23"/>
      <c r="L61" s="23"/>
      <c r="M61" s="304"/>
    </row>
    <row r="62" spans="1:13">
      <c r="A62" s="191"/>
      <c r="B62" s="300"/>
      <c r="C62" s="309" t="s">
        <v>370</v>
      </c>
      <c r="D62" s="310">
        <f>+'7 - Unfunded Reserves'!W8</f>
        <v>0</v>
      </c>
      <c r="E62" s="311"/>
      <c r="F62" s="311"/>
      <c r="G62" s="312"/>
      <c r="H62" s="312"/>
      <c r="I62" s="311"/>
      <c r="K62" s="23"/>
      <c r="L62" s="23"/>
      <c r="M62" s="304"/>
    </row>
    <row r="63" spans="1:13">
      <c r="A63" s="191"/>
      <c r="B63" s="300"/>
      <c r="C63" s="309" t="s">
        <v>371</v>
      </c>
      <c r="D63" s="310">
        <f>+'7 - Unfunded Reserves'!W9</f>
        <v>0</v>
      </c>
      <c r="E63" s="313"/>
      <c r="F63" s="311"/>
      <c r="G63" s="312"/>
      <c r="H63" s="312"/>
      <c r="I63" s="311"/>
      <c r="K63" s="23"/>
      <c r="L63" s="23"/>
      <c r="M63" s="304"/>
    </row>
    <row r="64" spans="1:13">
      <c r="A64" s="191"/>
      <c r="B64" s="300"/>
      <c r="C64" s="309" t="s">
        <v>372</v>
      </c>
      <c r="D64" s="310">
        <f>+'7 - Unfunded Reserves'!W10</f>
        <v>0</v>
      </c>
      <c r="E64" s="313"/>
      <c r="F64" s="311"/>
      <c r="G64" s="312"/>
      <c r="H64" s="312"/>
      <c r="I64" s="311"/>
      <c r="K64" s="23"/>
      <c r="L64" s="23"/>
      <c r="M64" s="304"/>
    </row>
    <row r="65" spans="1:13">
      <c r="A65" s="191"/>
      <c r="B65" s="300"/>
      <c r="C65" s="309" t="s">
        <v>373</v>
      </c>
      <c r="D65" s="310">
        <f>+'7 - Unfunded Reserves'!W11</f>
        <v>0</v>
      </c>
      <c r="E65" s="313"/>
      <c r="F65" s="311"/>
      <c r="G65" s="312"/>
      <c r="H65" s="312"/>
      <c r="I65" s="311"/>
      <c r="K65" s="23"/>
      <c r="L65" s="23"/>
      <c r="M65" s="304"/>
    </row>
    <row r="66" spans="1:13">
      <c r="A66" s="191"/>
      <c r="B66" s="300"/>
      <c r="C66" s="309" t="s">
        <v>256</v>
      </c>
      <c r="D66" s="310">
        <f>+'7 - Unfunded Reserves'!W12</f>
        <v>0</v>
      </c>
      <c r="E66" s="313"/>
      <c r="F66" s="311"/>
      <c r="G66" s="312"/>
      <c r="H66" s="312"/>
      <c r="I66" s="311"/>
      <c r="K66" s="23"/>
      <c r="L66" s="23"/>
      <c r="M66" s="304"/>
    </row>
    <row r="67" spans="1:13">
      <c r="A67" s="191"/>
      <c r="B67" s="300"/>
      <c r="C67" s="314" t="s">
        <v>256</v>
      </c>
      <c r="D67" s="315">
        <f>+'7 - Unfunded Reserves'!W13</f>
        <v>0</v>
      </c>
      <c r="E67" s="313"/>
      <c r="F67" s="311"/>
      <c r="G67" s="312"/>
      <c r="H67" s="312"/>
      <c r="I67" s="311"/>
      <c r="K67" s="23"/>
      <c r="L67" s="23"/>
      <c r="M67" s="304"/>
    </row>
    <row r="68" spans="1:13">
      <c r="A68" s="191" t="s">
        <v>374</v>
      </c>
      <c r="B68" s="300"/>
      <c r="C68" s="316" t="s">
        <v>375</v>
      </c>
      <c r="D68" s="310">
        <f>SUM(D62:D67)</f>
        <v>0</v>
      </c>
      <c r="E68" s="313">
        <f>SUM(E62:E67)</f>
        <v>0</v>
      </c>
      <c r="F68" s="311"/>
      <c r="G68" s="312"/>
      <c r="H68" s="312"/>
      <c r="I68" s="311"/>
      <c r="K68" s="23"/>
      <c r="L68" s="23"/>
      <c r="M68" s="304"/>
    </row>
    <row r="69" spans="1:13">
      <c r="A69" s="191"/>
      <c r="B69" s="317"/>
      <c r="C69" s="318"/>
      <c r="D69" s="319"/>
      <c r="E69" s="319"/>
      <c r="F69" s="319"/>
      <c r="G69" s="319"/>
      <c r="H69" s="319"/>
      <c r="I69" s="303"/>
      <c r="J69" s="303"/>
      <c r="K69" s="23"/>
      <c r="L69" s="23"/>
      <c r="M69" s="304"/>
    </row>
    <row r="70" spans="1:13">
      <c r="A70" s="191"/>
      <c r="B70" s="23"/>
      <c r="C70" s="64"/>
      <c r="E70" s="320"/>
      <c r="F70" s="320"/>
      <c r="G70" s="320"/>
      <c r="H70" s="321"/>
      <c r="I70" s="23"/>
      <c r="J70" s="23"/>
      <c r="K70" s="23"/>
      <c r="L70" s="23"/>
      <c r="M70" s="304"/>
    </row>
    <row r="71" spans="1:13" ht="16.5" thickBot="1">
      <c r="B71" s="23"/>
      <c r="C71" s="202"/>
      <c r="D71" s="23"/>
      <c r="F71" s="202"/>
      <c r="G71" s="322"/>
      <c r="H71" s="322"/>
      <c r="I71" s="23"/>
      <c r="J71" s="23"/>
      <c r="K71" s="23"/>
      <c r="L71" s="23"/>
      <c r="M71" s="23"/>
    </row>
    <row r="72" spans="1:13">
      <c r="A72" s="323" t="s">
        <v>376</v>
      </c>
      <c r="B72" s="266"/>
      <c r="C72" s="266"/>
      <c r="D72" s="266"/>
      <c r="E72" s="266"/>
      <c r="F72" s="266"/>
      <c r="G72" s="266"/>
      <c r="H72" s="266"/>
      <c r="I72" s="266"/>
      <c r="J72" s="266"/>
      <c r="K72" s="266"/>
      <c r="L72" s="266"/>
      <c r="M72" s="324"/>
    </row>
    <row r="73" spans="1:13">
      <c r="A73" s="905" t="s">
        <v>289</v>
      </c>
      <c r="B73" s="906"/>
      <c r="C73" s="906"/>
      <c r="D73" s="906"/>
      <c r="E73" s="906"/>
      <c r="F73" s="906"/>
      <c r="G73" s="325"/>
      <c r="H73" s="325"/>
      <c r="I73" s="325"/>
      <c r="J73" s="907" t="s">
        <v>336</v>
      </c>
      <c r="K73" s="903"/>
      <c r="L73" s="903"/>
      <c r="M73" s="904"/>
    </row>
    <row r="74" spans="1:13">
      <c r="A74" s="191"/>
      <c r="B74" s="154" t="s">
        <v>377</v>
      </c>
      <c r="E74" s="297"/>
      <c r="J74" s="902"/>
      <c r="K74" s="903"/>
      <c r="L74" s="903"/>
      <c r="M74" s="904"/>
    </row>
    <row r="75" spans="1:13">
      <c r="A75" s="191"/>
      <c r="B75" s="23"/>
      <c r="C75" s="23"/>
      <c r="D75" s="152" t="s">
        <v>3</v>
      </c>
      <c r="E75" s="297" t="s">
        <v>378</v>
      </c>
      <c r="F75" s="164"/>
      <c r="G75" s="164" t="s">
        <v>379</v>
      </c>
      <c r="H75" s="233"/>
      <c r="I75" s="23"/>
      <c r="J75" s="23"/>
      <c r="K75" s="23"/>
      <c r="L75" s="23"/>
      <c r="M75" s="304"/>
    </row>
    <row r="76" spans="1:13">
      <c r="A76" s="191">
        <f>+A58+1</f>
        <v>128</v>
      </c>
      <c r="B76" s="23"/>
      <c r="C76" s="202" t="s">
        <v>380</v>
      </c>
      <c r="D76" s="23"/>
      <c r="E76" s="202" t="s">
        <v>381</v>
      </c>
      <c r="F76" s="202"/>
      <c r="G76" s="326"/>
      <c r="H76" s="322"/>
      <c r="I76" s="23"/>
      <c r="J76" s="23"/>
      <c r="K76" s="23"/>
      <c r="L76" s="23"/>
      <c r="M76" s="304"/>
    </row>
    <row r="77" spans="1:13">
      <c r="A77" s="191"/>
      <c r="B77" s="23"/>
      <c r="C77" s="202"/>
      <c r="D77" s="23"/>
      <c r="E77" s="202"/>
      <c r="F77" s="202"/>
      <c r="G77" s="322"/>
      <c r="H77" s="322"/>
      <c r="I77" s="23"/>
      <c r="J77" s="23"/>
      <c r="K77" s="23"/>
      <c r="L77" s="23"/>
      <c r="M77" s="304"/>
    </row>
    <row r="78" spans="1:13">
      <c r="A78" s="191" t="s">
        <v>382</v>
      </c>
      <c r="B78" s="23"/>
      <c r="C78" s="23" t="s">
        <v>383</v>
      </c>
      <c r="G78" s="185"/>
      <c r="I78" s="23"/>
      <c r="J78" s="23"/>
      <c r="K78" s="23"/>
      <c r="L78" s="23"/>
      <c r="M78" s="304"/>
    </row>
    <row r="79" spans="1:13">
      <c r="A79" s="191"/>
      <c r="B79" s="23"/>
      <c r="C79" s="327"/>
      <c r="G79" s="185"/>
      <c r="I79" s="23"/>
      <c r="J79" s="23"/>
      <c r="K79" s="23"/>
      <c r="L79" s="23"/>
      <c r="M79" s="304"/>
    </row>
    <row r="80" spans="1:13">
      <c r="A80" s="191"/>
      <c r="B80" s="23"/>
      <c r="C80" s="327"/>
      <c r="G80" s="185"/>
      <c r="I80" s="23"/>
      <c r="J80" s="23"/>
      <c r="K80" s="23"/>
      <c r="L80" s="23"/>
      <c r="M80" s="304"/>
    </row>
    <row r="81" spans="1:13">
      <c r="A81" s="191"/>
      <c r="B81" s="23"/>
      <c r="C81" s="327"/>
      <c r="G81" s="185"/>
      <c r="I81" s="23"/>
      <c r="J81" s="23"/>
      <c r="K81" s="23"/>
      <c r="L81" s="23"/>
      <c r="M81" s="304"/>
    </row>
    <row r="82" spans="1:13">
      <c r="A82" s="191"/>
      <c r="B82" s="23"/>
      <c r="C82" s="327"/>
      <c r="G82" s="185"/>
      <c r="I82" s="23"/>
      <c r="J82" s="23"/>
      <c r="K82" s="23"/>
      <c r="L82" s="23"/>
      <c r="M82" s="304"/>
    </row>
    <row r="83" spans="1:13" ht="16.5" thickBot="1">
      <c r="A83" s="222"/>
      <c r="B83" s="225"/>
      <c r="C83" s="225"/>
      <c r="D83" s="225"/>
      <c r="E83" s="225"/>
      <c r="F83" s="225"/>
      <c r="G83" s="225"/>
      <c r="H83" s="225"/>
      <c r="I83" s="225"/>
      <c r="J83" s="225"/>
      <c r="K83" s="225"/>
      <c r="L83" s="225"/>
      <c r="M83" s="328"/>
    </row>
    <row r="85" spans="1:13" s="331" customFormat="1" ht="16.5" thickBot="1">
      <c r="A85" s="329" t="s">
        <v>384</v>
      </c>
      <c r="B85" s="330"/>
      <c r="C85" s="330"/>
      <c r="D85" s="330"/>
      <c r="E85" s="330"/>
      <c r="F85" s="330"/>
      <c r="G85" s="330"/>
      <c r="H85" s="330"/>
      <c r="I85" s="330"/>
      <c r="J85" s="330"/>
      <c r="K85" s="330"/>
      <c r="L85" s="330"/>
      <c r="M85" s="330"/>
    </row>
    <row r="86" spans="1:13" s="331" customFormat="1" ht="47.25">
      <c r="A86" s="908" t="s">
        <v>289</v>
      </c>
      <c r="B86" s="909"/>
      <c r="C86" s="909"/>
      <c r="D86" s="909"/>
      <c r="E86" s="909"/>
      <c r="F86" s="909"/>
      <c r="G86" s="332" t="s">
        <v>385</v>
      </c>
      <c r="H86" s="242" t="s">
        <v>386</v>
      </c>
      <c r="I86" s="242" t="s">
        <v>387</v>
      </c>
      <c r="J86" s="910" t="s">
        <v>388</v>
      </c>
      <c r="K86" s="893"/>
      <c r="L86" s="893"/>
      <c r="M86" s="894"/>
    </row>
    <row r="87" spans="1:13" s="331" customFormat="1">
      <c r="A87" s="191"/>
      <c r="B87" s="154" t="s">
        <v>389</v>
      </c>
      <c r="C87" s="202"/>
      <c r="D87" s="152"/>
      <c r="E87" s="210"/>
      <c r="F87" s="202"/>
      <c r="G87" s="333" t="s">
        <v>185</v>
      </c>
      <c r="H87" s="334" t="s">
        <v>187</v>
      </c>
      <c r="I87" s="335" t="s">
        <v>189</v>
      </c>
      <c r="J87" s="152"/>
      <c r="K87" s="152"/>
      <c r="L87" s="152"/>
      <c r="M87" s="216"/>
    </row>
    <row r="88" spans="1:13" s="331" customFormat="1">
      <c r="A88" s="191"/>
      <c r="B88" s="154"/>
      <c r="C88" s="202"/>
      <c r="D88" s="152"/>
      <c r="E88" s="210"/>
      <c r="F88" s="202"/>
      <c r="G88" s="333"/>
      <c r="H88" s="334"/>
      <c r="I88" s="335" t="s">
        <v>390</v>
      </c>
      <c r="J88" s="336"/>
      <c r="K88" s="152"/>
      <c r="L88" s="152"/>
      <c r="M88" s="216"/>
    </row>
    <row r="89" spans="1:13" s="331" customFormat="1">
      <c r="A89" s="191">
        <f>+A76+1</f>
        <v>129</v>
      </c>
      <c r="B89" s="253"/>
      <c r="C89" s="202" t="s">
        <v>391</v>
      </c>
      <c r="D89" s="219"/>
      <c r="E89" s="219"/>
      <c r="F89" s="202" t="s">
        <v>392</v>
      </c>
      <c r="G89" s="337"/>
      <c r="H89" s="338"/>
      <c r="I89" s="261">
        <f>+G89-H89</f>
        <v>0</v>
      </c>
      <c r="J89" s="152"/>
      <c r="K89" s="152"/>
      <c r="L89" s="152"/>
      <c r="M89" s="216"/>
    </row>
    <row r="90" spans="1:13" s="331" customFormat="1">
      <c r="A90" s="191"/>
      <c r="B90" s="154"/>
      <c r="C90" s="202"/>
      <c r="D90" s="152"/>
      <c r="E90" s="210"/>
      <c r="F90" s="202"/>
      <c r="G90" s="339" t="s">
        <v>393</v>
      </c>
      <c r="H90" s="334"/>
      <c r="I90" s="335"/>
      <c r="J90" s="152"/>
      <c r="K90" s="152"/>
      <c r="L90" s="152"/>
      <c r="M90" s="216"/>
    </row>
    <row r="91" spans="1:13" s="331" customFormat="1">
      <c r="A91" s="191"/>
      <c r="B91" s="154"/>
      <c r="C91" s="202"/>
      <c r="D91" s="152"/>
      <c r="E91" s="210"/>
      <c r="F91" s="202"/>
      <c r="G91" s="339" t="s">
        <v>394</v>
      </c>
      <c r="H91" s="334"/>
      <c r="I91" s="335"/>
      <c r="J91" s="152"/>
      <c r="K91" s="152"/>
      <c r="L91" s="152"/>
      <c r="M91" s="216"/>
    </row>
    <row r="92" spans="1:13" s="331" customFormat="1">
      <c r="A92" s="191"/>
      <c r="B92" s="154"/>
      <c r="C92" s="202"/>
      <c r="D92" s="152"/>
      <c r="E92" s="210"/>
      <c r="F92" s="202"/>
      <c r="G92" s="339"/>
      <c r="H92" s="334"/>
      <c r="I92" s="335"/>
      <c r="J92" s="152"/>
      <c r="K92" s="152"/>
      <c r="L92" s="152"/>
      <c r="M92" s="216"/>
    </row>
    <row r="93" spans="1:13" s="331" customFormat="1" ht="16.5" thickBot="1">
      <c r="A93" s="340"/>
      <c r="B93" s="225"/>
      <c r="C93" s="225"/>
      <c r="D93" s="225"/>
      <c r="E93" s="225"/>
      <c r="F93" s="225"/>
      <c r="G93" s="340" t="s">
        <v>395</v>
      </c>
      <c r="H93" s="225"/>
      <c r="I93" s="225"/>
      <c r="J93" s="888"/>
      <c r="K93" s="888"/>
      <c r="L93" s="888"/>
      <c r="M93" s="889"/>
    </row>
    <row r="96" spans="1:13" ht="16.5" thickBot="1">
      <c r="A96" s="189" t="s">
        <v>396</v>
      </c>
    </row>
    <row r="97" spans="1:13">
      <c r="A97" s="890" t="s">
        <v>289</v>
      </c>
      <c r="B97" s="891"/>
      <c r="C97" s="891"/>
      <c r="D97" s="891"/>
      <c r="E97" s="891"/>
      <c r="F97" s="911"/>
      <c r="G97" s="292" t="s">
        <v>397</v>
      </c>
      <c r="H97" s="292" t="s">
        <v>398</v>
      </c>
      <c r="I97" s="292" t="s">
        <v>399</v>
      </c>
      <c r="J97" s="292" t="s">
        <v>400</v>
      </c>
      <c r="K97" s="292" t="s">
        <v>401</v>
      </c>
      <c r="L97" s="892" t="s">
        <v>402</v>
      </c>
      <c r="M97" s="912"/>
    </row>
    <row r="98" spans="1:13">
      <c r="A98" s="191" t="s">
        <v>3</v>
      </c>
      <c r="B98" s="341" t="s">
        <v>403</v>
      </c>
      <c r="E98" s="297"/>
      <c r="F98" s="342"/>
      <c r="M98" s="216"/>
    </row>
    <row r="99" spans="1:13">
      <c r="A99" s="191"/>
      <c r="B99" s="341"/>
      <c r="E99" s="297"/>
      <c r="F99" s="342"/>
      <c r="G99" s="343"/>
      <c r="H99" s="344"/>
      <c r="I99" s="344"/>
      <c r="J99" s="344"/>
      <c r="K99" s="344"/>
      <c r="L99" s="335"/>
      <c r="M99" s="345"/>
    </row>
    <row r="100" spans="1:13">
      <c r="A100" s="191">
        <f>+A89+1</f>
        <v>130</v>
      </c>
      <c r="B100" s="341"/>
      <c r="C100" s="202" t="s">
        <v>404</v>
      </c>
      <c r="E100" s="297"/>
      <c r="F100" s="342"/>
      <c r="G100" s="346">
        <v>8.8400000000000006E-2</v>
      </c>
      <c r="H100" s="347"/>
      <c r="I100" s="348"/>
      <c r="J100" s="348"/>
      <c r="K100" s="349"/>
      <c r="L100" s="350">
        <f>+G100</f>
        <v>8.8400000000000006E-2</v>
      </c>
      <c r="M100" s="345"/>
    </row>
    <row r="101" spans="1:13" ht="16.5" thickBot="1">
      <c r="A101" s="340"/>
      <c r="B101" s="223"/>
      <c r="C101" s="225" t="s">
        <v>405</v>
      </c>
      <c r="D101" s="351"/>
      <c r="E101" s="226"/>
      <c r="F101" s="227"/>
      <c r="G101" s="225"/>
      <c r="H101" s="225"/>
      <c r="I101" s="225"/>
      <c r="J101" s="225"/>
      <c r="K101" s="225"/>
      <c r="L101" s="225"/>
      <c r="M101" s="352"/>
    </row>
    <row r="103" spans="1:13" ht="16.5" thickBot="1">
      <c r="A103" s="353" t="s">
        <v>406</v>
      </c>
    </row>
    <row r="104" spans="1:13" ht="78.75" customHeight="1">
      <c r="A104" s="895" t="s">
        <v>289</v>
      </c>
      <c r="B104" s="896"/>
      <c r="C104" s="896"/>
      <c r="D104" s="896"/>
      <c r="E104" s="896"/>
      <c r="F104" s="897"/>
      <c r="G104" s="354" t="s">
        <v>385</v>
      </c>
      <c r="H104" s="270" t="s">
        <v>407</v>
      </c>
      <c r="I104" s="270" t="s">
        <v>241</v>
      </c>
      <c r="J104" s="898" t="s">
        <v>336</v>
      </c>
      <c r="K104" s="898"/>
      <c r="L104" s="898"/>
      <c r="M104" s="899"/>
    </row>
    <row r="105" spans="1:13">
      <c r="A105" s="191"/>
      <c r="B105" s="154" t="s">
        <v>389</v>
      </c>
      <c r="E105" s="297"/>
      <c r="F105" s="216"/>
      <c r="G105" s="333" t="s">
        <v>185</v>
      </c>
      <c r="H105" s="335" t="s">
        <v>187</v>
      </c>
      <c r="I105" s="335" t="s">
        <v>189</v>
      </c>
      <c r="M105" s="216"/>
    </row>
    <row r="106" spans="1:13">
      <c r="A106" s="191"/>
      <c r="B106" s="154"/>
      <c r="E106" s="297"/>
      <c r="F106" s="216"/>
      <c r="G106" s="333"/>
      <c r="H106" s="335"/>
      <c r="I106" s="335" t="s">
        <v>390</v>
      </c>
      <c r="M106" s="216"/>
    </row>
    <row r="107" spans="1:13">
      <c r="A107" s="191">
        <f>+A100+1</f>
        <v>131</v>
      </c>
      <c r="B107" s="253"/>
      <c r="C107" s="202" t="s">
        <v>408</v>
      </c>
      <c r="E107" s="297"/>
      <c r="F107" s="214" t="s">
        <v>409</v>
      </c>
      <c r="G107" s="337"/>
      <c r="H107" s="338"/>
      <c r="I107" s="355">
        <f>G107-H107</f>
        <v>0</v>
      </c>
      <c r="M107" s="216"/>
    </row>
    <row r="108" spans="1:13">
      <c r="A108" s="191"/>
      <c r="B108" s="253"/>
      <c r="C108" s="202"/>
      <c r="E108" s="297"/>
      <c r="F108" s="214"/>
      <c r="G108" s="339" t="s">
        <v>410</v>
      </c>
      <c r="H108" s="232"/>
      <c r="I108" s="355"/>
      <c r="M108" s="216"/>
    </row>
    <row r="109" spans="1:13" ht="16.5" thickBot="1">
      <c r="A109" s="356"/>
      <c r="B109" s="357"/>
      <c r="C109" s="357"/>
      <c r="D109" s="225"/>
      <c r="E109" s="223"/>
      <c r="F109" s="358"/>
      <c r="G109" s="356" t="s">
        <v>411</v>
      </c>
      <c r="H109" s="357"/>
      <c r="I109" s="357"/>
      <c r="J109" s="359"/>
      <c r="K109" s="359"/>
      <c r="L109" s="359"/>
      <c r="M109" s="360"/>
    </row>
    <row r="111" spans="1:13" ht="16.5" thickBot="1">
      <c r="A111" s="189" t="s">
        <v>412</v>
      </c>
    </row>
    <row r="112" spans="1:13" ht="47.25">
      <c r="A112" s="890" t="s">
        <v>289</v>
      </c>
      <c r="B112" s="891"/>
      <c r="C112" s="891"/>
      <c r="D112" s="891"/>
      <c r="E112" s="891"/>
      <c r="F112" s="891"/>
      <c r="G112" s="291" t="str">
        <f>+C114</f>
        <v>Excluded Transmission Facilities</v>
      </c>
      <c r="H112" s="892" t="s">
        <v>413</v>
      </c>
      <c r="I112" s="913"/>
      <c r="J112" s="913"/>
      <c r="K112" s="913"/>
      <c r="L112" s="913"/>
      <c r="M112" s="914"/>
    </row>
    <row r="113" spans="1:13">
      <c r="A113" s="333"/>
      <c r="B113" s="209" t="s">
        <v>414</v>
      </c>
      <c r="C113" s="154"/>
      <c r="D113" s="154"/>
      <c r="E113" s="334"/>
      <c r="F113" s="361"/>
      <c r="G113" s="295"/>
      <c r="M113" s="216"/>
    </row>
    <row r="114" spans="1:13">
      <c r="A114" s="191">
        <f>+A107+1</f>
        <v>132</v>
      </c>
      <c r="B114" s="164"/>
      <c r="C114" s="202" t="s">
        <v>415</v>
      </c>
      <c r="D114" s="154"/>
      <c r="E114" s="219"/>
      <c r="F114" s="202"/>
      <c r="G114" s="362">
        <v>0</v>
      </c>
      <c r="H114" s="902" t="s">
        <v>416</v>
      </c>
      <c r="I114" s="903"/>
      <c r="J114" s="903"/>
      <c r="K114" s="903"/>
      <c r="L114" s="903"/>
      <c r="M114" s="904"/>
    </row>
    <row r="115" spans="1:13">
      <c r="A115" s="191" t="s">
        <v>417</v>
      </c>
      <c r="B115" s="164"/>
      <c r="C115" s="152" t="s">
        <v>418</v>
      </c>
      <c r="D115" s="154"/>
      <c r="E115" s="210"/>
      <c r="F115" s="196"/>
      <c r="G115" s="362">
        <v>0</v>
      </c>
      <c r="H115" s="902" t="s">
        <v>416</v>
      </c>
      <c r="I115" s="903"/>
      <c r="J115" s="903"/>
      <c r="K115" s="903"/>
      <c r="L115" s="903"/>
      <c r="M115" s="904"/>
    </row>
    <row r="116" spans="1:13" ht="16.5" thickBot="1">
      <c r="A116" s="222"/>
      <c r="B116" s="225"/>
      <c r="C116" s="225"/>
      <c r="D116" s="225"/>
      <c r="E116" s="225"/>
      <c r="F116" s="225"/>
      <c r="G116" s="340"/>
      <c r="H116" s="225"/>
      <c r="I116" s="225"/>
      <c r="J116" s="225"/>
      <c r="K116" s="363" t="s">
        <v>419</v>
      </c>
      <c r="L116" s="225"/>
      <c r="M116" s="328"/>
    </row>
    <row r="117" spans="1:13">
      <c r="K117" s="364"/>
    </row>
    <row r="118" spans="1:13">
      <c r="B118" s="164"/>
      <c r="C118" s="164"/>
      <c r="D118" s="164"/>
      <c r="E118" s="219"/>
      <c r="F118" s="164"/>
      <c r="K118" s="364"/>
    </row>
    <row r="119" spans="1:13" ht="16.5" thickBot="1">
      <c r="A119" s="189" t="s">
        <v>420</v>
      </c>
      <c r="F119" s="225"/>
    </row>
    <row r="120" spans="1:13">
      <c r="A120" s="365" t="s">
        <v>289</v>
      </c>
      <c r="B120" s="366"/>
      <c r="C120" s="366"/>
      <c r="D120" s="367"/>
      <c r="E120" s="367"/>
      <c r="F120" s="367"/>
      <c r="G120" s="292"/>
      <c r="H120" s="292"/>
      <c r="I120" s="292"/>
      <c r="J120" s="292"/>
      <c r="K120" s="292"/>
      <c r="L120" s="292"/>
      <c r="M120" s="368"/>
    </row>
    <row r="121" spans="1:13">
      <c r="A121" s="333"/>
      <c r="B121" s="209"/>
      <c r="C121" s="154"/>
      <c r="E121" s="335" t="s">
        <v>185</v>
      </c>
      <c r="F121" s="335" t="s">
        <v>187</v>
      </c>
      <c r="G121" s="335" t="s">
        <v>189</v>
      </c>
      <c r="H121" s="209"/>
      <c r="I121" s="196"/>
      <c r="K121" s="335"/>
      <c r="M121" s="216"/>
    </row>
    <row r="122" spans="1:13" ht="31.5">
      <c r="A122" s="191"/>
      <c r="C122" s="288" t="s">
        <v>421</v>
      </c>
      <c r="E122" s="233" t="s">
        <v>422</v>
      </c>
      <c r="F122" s="233" t="s">
        <v>423</v>
      </c>
      <c r="G122" s="233" t="s">
        <v>48</v>
      </c>
      <c r="H122" s="165"/>
      <c r="I122" s="288"/>
      <c r="J122" s="369"/>
      <c r="K122" s="370"/>
      <c r="L122" s="233"/>
      <c r="M122" s="264"/>
    </row>
    <row r="123" spans="1:13" ht="17.25" customHeight="1">
      <c r="A123" s="191"/>
      <c r="B123" s="164"/>
      <c r="C123" s="152" t="s">
        <v>424</v>
      </c>
      <c r="E123" s="164" t="s">
        <v>425</v>
      </c>
      <c r="F123" s="164" t="s">
        <v>426</v>
      </c>
      <c r="G123" s="335" t="s">
        <v>427</v>
      </c>
      <c r="H123" s="165"/>
      <c r="I123" s="288"/>
      <c r="J123" s="369"/>
      <c r="K123" s="370"/>
      <c r="L123" s="202"/>
      <c r="M123" s="371"/>
    </row>
    <row r="124" spans="1:13" ht="17.25" customHeight="1">
      <c r="A124" s="191">
        <f>+A114+1</f>
        <v>133</v>
      </c>
      <c r="B124" s="164"/>
      <c r="C124" s="152" t="s">
        <v>293</v>
      </c>
      <c r="D124" s="152" t="s">
        <v>428</v>
      </c>
      <c r="E124" s="372">
        <v>0</v>
      </c>
      <c r="F124" s="373">
        <v>0</v>
      </c>
      <c r="G124" s="166">
        <f>+E124+F124</f>
        <v>0</v>
      </c>
      <c r="H124" s="165"/>
      <c r="J124" s="369"/>
      <c r="K124" s="370"/>
      <c r="L124" s="202"/>
      <c r="M124" s="371"/>
    </row>
    <row r="125" spans="1:13" ht="17.25" customHeight="1">
      <c r="A125" s="191">
        <f>+A124+1</f>
        <v>134</v>
      </c>
      <c r="B125" s="164"/>
      <c r="C125" s="202" t="s">
        <v>295</v>
      </c>
      <c r="D125" s="152" t="s">
        <v>429</v>
      </c>
      <c r="E125" s="374">
        <v>0</v>
      </c>
      <c r="F125" s="271">
        <v>0</v>
      </c>
      <c r="G125" s="166">
        <f t="shared" ref="G125:G136" si="3">+E125+F125</f>
        <v>0</v>
      </c>
      <c r="H125" s="165"/>
      <c r="I125" s="288"/>
      <c r="J125" s="369"/>
      <c r="K125" s="370"/>
      <c r="L125" s="202"/>
      <c r="M125" s="371"/>
    </row>
    <row r="126" spans="1:13" ht="17.25" customHeight="1">
      <c r="A126" s="191">
        <f t="shared" ref="A126:A136" si="4">+A125+1</f>
        <v>135</v>
      </c>
      <c r="B126" s="164"/>
      <c r="C126" s="202" t="s">
        <v>297</v>
      </c>
      <c r="D126" s="152" t="s">
        <v>429</v>
      </c>
      <c r="E126" s="374">
        <v>0</v>
      </c>
      <c r="F126" s="271">
        <v>0</v>
      </c>
      <c r="G126" s="166">
        <f t="shared" si="3"/>
        <v>0</v>
      </c>
      <c r="H126" s="165"/>
      <c r="I126" s="288"/>
      <c r="J126" s="369"/>
      <c r="K126" s="370"/>
      <c r="L126" s="202"/>
      <c r="M126" s="371"/>
    </row>
    <row r="127" spans="1:13" ht="17.25" customHeight="1">
      <c r="A127" s="191">
        <f t="shared" si="4"/>
        <v>136</v>
      </c>
      <c r="B127" s="164"/>
      <c r="C127" s="202" t="s">
        <v>298</v>
      </c>
      <c r="D127" s="152" t="s">
        <v>429</v>
      </c>
      <c r="E127" s="374">
        <v>0</v>
      </c>
      <c r="F127" s="271">
        <v>0</v>
      </c>
      <c r="G127" s="166">
        <f t="shared" si="3"/>
        <v>0</v>
      </c>
      <c r="H127" s="165"/>
      <c r="I127" s="288"/>
      <c r="J127" s="369"/>
      <c r="K127" s="370"/>
      <c r="L127" s="202"/>
      <c r="M127" s="371"/>
    </row>
    <row r="128" spans="1:13" ht="17.25" customHeight="1">
      <c r="A128" s="191">
        <f t="shared" si="4"/>
        <v>137</v>
      </c>
      <c r="B128" s="164"/>
      <c r="C128" s="202" t="s">
        <v>299</v>
      </c>
      <c r="D128" s="152" t="s">
        <v>429</v>
      </c>
      <c r="E128" s="374">
        <v>0</v>
      </c>
      <c r="F128" s="271">
        <v>0</v>
      </c>
      <c r="G128" s="166">
        <f t="shared" si="3"/>
        <v>0</v>
      </c>
      <c r="H128" s="165"/>
      <c r="I128" s="288"/>
      <c r="J128" s="369"/>
      <c r="K128" s="370"/>
      <c r="L128" s="202"/>
      <c r="M128" s="371"/>
    </row>
    <row r="129" spans="1:13" ht="17.25" customHeight="1">
      <c r="A129" s="191">
        <f t="shared" si="4"/>
        <v>138</v>
      </c>
      <c r="B129" s="164"/>
      <c r="C129" s="202" t="s">
        <v>300</v>
      </c>
      <c r="D129" s="152" t="s">
        <v>429</v>
      </c>
      <c r="E129" s="374">
        <v>0</v>
      </c>
      <c r="F129" s="271">
        <v>0</v>
      </c>
      <c r="G129" s="166">
        <f t="shared" si="3"/>
        <v>0</v>
      </c>
      <c r="H129" s="165"/>
      <c r="I129" s="288"/>
      <c r="J129" s="369"/>
      <c r="K129" s="370"/>
      <c r="L129" s="202"/>
      <c r="M129" s="371"/>
    </row>
    <row r="130" spans="1:13" ht="17.25" customHeight="1">
      <c r="A130" s="191">
        <f t="shared" si="4"/>
        <v>139</v>
      </c>
      <c r="B130" s="164"/>
      <c r="C130" s="202" t="s">
        <v>301</v>
      </c>
      <c r="D130" s="152" t="s">
        <v>429</v>
      </c>
      <c r="E130" s="374">
        <v>0</v>
      </c>
      <c r="F130" s="271">
        <v>0</v>
      </c>
      <c r="G130" s="166">
        <f t="shared" si="3"/>
        <v>0</v>
      </c>
      <c r="H130" s="165"/>
      <c r="I130" s="288"/>
      <c r="J130" s="369"/>
      <c r="K130" s="370"/>
      <c r="L130" s="202"/>
      <c r="M130" s="371"/>
    </row>
    <row r="131" spans="1:13" ht="17.25" customHeight="1">
      <c r="A131" s="191">
        <f t="shared" si="4"/>
        <v>140</v>
      </c>
      <c r="B131" s="164"/>
      <c r="C131" s="202" t="s">
        <v>302</v>
      </c>
      <c r="D131" s="152" t="s">
        <v>429</v>
      </c>
      <c r="E131" s="374">
        <v>0</v>
      </c>
      <c r="F131" s="271">
        <v>0</v>
      </c>
      <c r="G131" s="166">
        <f t="shared" si="3"/>
        <v>0</v>
      </c>
      <c r="H131" s="165"/>
      <c r="I131" s="288"/>
      <c r="J131" s="369"/>
      <c r="K131" s="370"/>
      <c r="L131" s="202"/>
      <c r="M131" s="371"/>
    </row>
    <row r="132" spans="1:13" ht="17.25" customHeight="1">
      <c r="A132" s="191">
        <f t="shared" si="4"/>
        <v>141</v>
      </c>
      <c r="B132" s="164"/>
      <c r="C132" s="202" t="s">
        <v>303</v>
      </c>
      <c r="D132" s="152" t="s">
        <v>429</v>
      </c>
      <c r="E132" s="374">
        <v>0</v>
      </c>
      <c r="F132" s="271">
        <v>0</v>
      </c>
      <c r="G132" s="166">
        <f t="shared" si="3"/>
        <v>0</v>
      </c>
      <c r="H132" s="165"/>
      <c r="I132" s="288"/>
      <c r="J132" s="369"/>
      <c r="K132" s="370"/>
      <c r="L132" s="202"/>
      <c r="M132" s="371"/>
    </row>
    <row r="133" spans="1:13" ht="17.25" customHeight="1">
      <c r="A133" s="191">
        <f t="shared" si="4"/>
        <v>142</v>
      </c>
      <c r="B133" s="164"/>
      <c r="C133" s="202" t="s">
        <v>304</v>
      </c>
      <c r="D133" s="152" t="s">
        <v>429</v>
      </c>
      <c r="E133" s="374">
        <v>0</v>
      </c>
      <c r="F133" s="271">
        <v>0</v>
      </c>
      <c r="G133" s="166">
        <f t="shared" si="3"/>
        <v>0</v>
      </c>
      <c r="H133" s="165"/>
      <c r="I133" s="288"/>
      <c r="J133" s="369"/>
      <c r="K133" s="370"/>
      <c r="L133" s="202"/>
      <c r="M133" s="371"/>
    </row>
    <row r="134" spans="1:13">
      <c r="A134" s="191">
        <f t="shared" si="4"/>
        <v>143</v>
      </c>
      <c r="B134" s="164"/>
      <c r="C134" s="202" t="s">
        <v>305</v>
      </c>
      <c r="D134" s="152" t="s">
        <v>429</v>
      </c>
      <c r="E134" s="374">
        <v>0</v>
      </c>
      <c r="F134" s="271">
        <v>0</v>
      </c>
      <c r="G134" s="166">
        <f t="shared" si="3"/>
        <v>0</v>
      </c>
      <c r="H134" s="165"/>
      <c r="I134" s="288"/>
      <c r="J134" s="369"/>
      <c r="K134" s="370"/>
      <c r="L134" s="202"/>
      <c r="M134" s="371"/>
    </row>
    <row r="135" spans="1:13" ht="17.25" customHeight="1">
      <c r="A135" s="191">
        <f t="shared" si="4"/>
        <v>144</v>
      </c>
      <c r="B135" s="164"/>
      <c r="C135" s="202" t="s">
        <v>306</v>
      </c>
      <c r="D135" s="152" t="s">
        <v>429</v>
      </c>
      <c r="E135" s="374">
        <v>0</v>
      </c>
      <c r="F135" s="271">
        <v>0</v>
      </c>
      <c r="G135" s="166">
        <f t="shared" si="3"/>
        <v>0</v>
      </c>
      <c r="H135" s="165"/>
      <c r="I135" s="288"/>
      <c r="J135" s="369"/>
      <c r="K135" s="370"/>
      <c r="L135" s="202"/>
      <c r="M135" s="371"/>
    </row>
    <row r="136" spans="1:13" ht="17.25" customHeight="1">
      <c r="A136" s="191">
        <f t="shared" si="4"/>
        <v>145</v>
      </c>
      <c r="B136" s="164"/>
      <c r="C136" s="202" t="s">
        <v>293</v>
      </c>
      <c r="D136" s="152" t="s">
        <v>430</v>
      </c>
      <c r="E136" s="374">
        <v>0</v>
      </c>
      <c r="F136" s="271">
        <v>0</v>
      </c>
      <c r="G136" s="166">
        <f t="shared" si="3"/>
        <v>0</v>
      </c>
      <c r="H136" s="165"/>
      <c r="I136" s="288"/>
      <c r="J136" s="369"/>
      <c r="K136" s="370"/>
      <c r="M136" s="371"/>
    </row>
    <row r="137" spans="1:13" ht="17.25" customHeight="1">
      <c r="A137" s="191"/>
      <c r="B137" s="164"/>
      <c r="C137" s="202"/>
      <c r="E137" s="213"/>
      <c r="F137" s="162"/>
      <c r="G137" s="162"/>
      <c r="H137" s="166"/>
      <c r="I137" s="288"/>
      <c r="J137" s="369"/>
      <c r="K137" s="370"/>
      <c r="M137" s="371"/>
    </row>
    <row r="138" spans="1:13" ht="16.5" thickBot="1">
      <c r="A138" s="222">
        <f>+A136+1</f>
        <v>146</v>
      </c>
      <c r="B138" s="223"/>
      <c r="C138" s="225" t="s">
        <v>431</v>
      </c>
      <c r="D138" s="375"/>
      <c r="E138" s="225"/>
      <c r="F138" s="225"/>
      <c r="G138" s="359">
        <f>SUM(G124:G136)/13</f>
        <v>0</v>
      </c>
      <c r="H138" s="359"/>
      <c r="I138" s="376"/>
      <c r="J138" s="377"/>
      <c r="K138" s="377"/>
      <c r="L138" s="286"/>
      <c r="M138" s="287"/>
    </row>
    <row r="139" spans="1:13">
      <c r="B139" s="164"/>
      <c r="C139" s="154"/>
      <c r="G139" s="378"/>
      <c r="H139" s="378"/>
      <c r="I139" s="379"/>
      <c r="J139" s="378"/>
      <c r="K139" s="378"/>
      <c r="L139" s="233"/>
      <c r="M139" s="233"/>
    </row>
    <row r="140" spans="1:13" ht="16.5" thickBot="1">
      <c r="A140" s="189" t="s">
        <v>432</v>
      </c>
    </row>
    <row r="141" spans="1:13">
      <c r="A141" s="365" t="s">
        <v>289</v>
      </c>
      <c r="B141" s="366"/>
      <c r="C141" s="366"/>
      <c r="D141" s="367"/>
      <c r="E141" s="367"/>
      <c r="F141" s="367"/>
      <c r="G141" s="292"/>
      <c r="H141" s="292"/>
      <c r="I141" s="292"/>
      <c r="J141" s="292"/>
      <c r="K141" s="292"/>
      <c r="L141" s="292"/>
      <c r="M141" s="368"/>
    </row>
    <row r="142" spans="1:13">
      <c r="A142" s="333"/>
      <c r="B142" s="209"/>
      <c r="C142" s="154"/>
      <c r="E142" s="209" t="s">
        <v>44</v>
      </c>
      <c r="H142" s="165"/>
      <c r="I142" s="196"/>
      <c r="K142" s="335"/>
      <c r="M142" s="216"/>
    </row>
    <row r="143" spans="1:13">
      <c r="A143" s="191"/>
      <c r="E143" s="166"/>
      <c r="F143" s="380"/>
      <c r="G143" s="380"/>
      <c r="H143" s="381" t="s">
        <v>433</v>
      </c>
      <c r="I143" s="165"/>
      <c r="J143" s="369"/>
      <c r="L143" s="233"/>
      <c r="M143" s="264"/>
    </row>
    <row r="144" spans="1:13" ht="15.75" customHeight="1">
      <c r="A144" s="191">
        <f>+A138+1</f>
        <v>147</v>
      </c>
      <c r="B144" s="164"/>
      <c r="C144" s="152" t="s">
        <v>434</v>
      </c>
      <c r="D144" s="152" t="s">
        <v>435</v>
      </c>
      <c r="E144" s="166">
        <f>+'11 - Reg. Assets and Abnd Plnt'!P18</f>
        <v>997719.60000000009</v>
      </c>
      <c r="F144" s="380" t="s">
        <v>436</v>
      </c>
      <c r="G144" s="380"/>
      <c r="H144" s="166" t="s">
        <v>437</v>
      </c>
      <c r="I144" s="165"/>
      <c r="J144" s="166"/>
      <c r="K144" s="166"/>
      <c r="L144" s="166"/>
      <c r="M144" s="382"/>
    </row>
    <row r="145" spans="1:13">
      <c r="A145" s="191"/>
      <c r="B145" s="164"/>
      <c r="E145" s="166"/>
      <c r="F145" s="383"/>
      <c r="G145" s="383"/>
      <c r="H145" s="152" t="s">
        <v>438</v>
      </c>
      <c r="I145" s="165"/>
      <c r="J145" s="384"/>
      <c r="K145" s="370"/>
      <c r="L145" s="202"/>
      <c r="M145" s="371"/>
    </row>
    <row r="146" spans="1:13">
      <c r="A146" s="191">
        <f>+A144+1</f>
        <v>148</v>
      </c>
      <c r="B146" s="164"/>
      <c r="C146" s="152" t="s">
        <v>439</v>
      </c>
      <c r="D146" s="152" t="s">
        <v>440</v>
      </c>
      <c r="E146" s="166">
        <f>+'11 - Reg. Assets and Abnd Plnt'!AJ18</f>
        <v>10079113.593548344</v>
      </c>
      <c r="F146" s="380" t="s">
        <v>441</v>
      </c>
      <c r="G146" s="380"/>
      <c r="H146" s="370" t="s">
        <v>442</v>
      </c>
      <c r="I146" s="165"/>
      <c r="J146" s="165"/>
      <c r="K146" s="370"/>
      <c r="M146" s="371"/>
    </row>
    <row r="147" spans="1:13">
      <c r="A147" s="191"/>
      <c r="B147" s="164"/>
      <c r="E147" s="380"/>
      <c r="F147" s="380"/>
      <c r="G147" s="380"/>
      <c r="H147" s="288" t="s">
        <v>443</v>
      </c>
      <c r="I147" s="369" t="s">
        <v>444</v>
      </c>
      <c r="J147" s="369"/>
      <c r="K147" s="370"/>
      <c r="M147" s="371"/>
    </row>
    <row r="148" spans="1:13">
      <c r="A148" s="191"/>
      <c r="B148" s="164"/>
      <c r="E148" s="380"/>
      <c r="F148" s="380"/>
      <c r="G148" s="380"/>
      <c r="H148" s="385" t="str">
        <f>'11 - Reg. Assets and Abnd Plnt'!AN8</f>
        <v>ER20-2010-000</v>
      </c>
      <c r="I148" s="386" t="s">
        <v>445</v>
      </c>
      <c r="J148" s="165"/>
      <c r="K148" s="370"/>
      <c r="L148" s="202"/>
      <c r="M148" s="371"/>
    </row>
    <row r="149" spans="1:13" ht="15.75" customHeight="1">
      <c r="A149" s="295"/>
      <c r="H149" s="387"/>
      <c r="I149" s="387"/>
      <c r="J149" s="165"/>
      <c r="M149" s="216"/>
    </row>
    <row r="150" spans="1:13" ht="16.5" thickBot="1">
      <c r="A150" s="222"/>
      <c r="B150" s="223"/>
      <c r="C150" s="388"/>
      <c r="D150" s="225"/>
      <c r="E150" s="225"/>
      <c r="F150" s="225"/>
      <c r="G150" s="377"/>
      <c r="H150" s="389"/>
      <c r="I150" s="390"/>
      <c r="J150" s="357"/>
      <c r="K150" s="391"/>
      <c r="L150" s="286"/>
      <c r="M150" s="287"/>
    </row>
    <row r="152" spans="1:13" ht="16.5" thickBot="1">
      <c r="A152" s="189" t="s">
        <v>446</v>
      </c>
    </row>
    <row r="153" spans="1:13" ht="16.5" customHeight="1">
      <c r="A153" s="871" t="s">
        <v>289</v>
      </c>
      <c r="B153" s="872"/>
      <c r="C153" s="872"/>
      <c r="D153" s="872"/>
      <c r="E153" s="872"/>
      <c r="F153" s="872"/>
      <c r="G153" s="392"/>
      <c r="H153" s="392"/>
      <c r="I153" s="392"/>
      <c r="J153" s="913" t="s">
        <v>336</v>
      </c>
      <c r="K153" s="893"/>
      <c r="L153" s="893"/>
      <c r="M153" s="894"/>
    </row>
    <row r="154" spans="1:13">
      <c r="A154" s="191">
        <f>+A146+1</f>
        <v>149</v>
      </c>
      <c r="C154" s="192" t="s">
        <v>447</v>
      </c>
      <c r="E154" s="164"/>
      <c r="F154" s="253"/>
      <c r="G154" s="364"/>
      <c r="J154" s="233"/>
      <c r="K154" s="233"/>
      <c r="L154" s="233"/>
      <c r="M154" s="264"/>
    </row>
    <row r="155" spans="1:13">
      <c r="A155" s="191"/>
      <c r="C155" s="192"/>
      <c r="E155" s="164"/>
      <c r="F155" s="253"/>
      <c r="G155" s="364"/>
      <c r="J155" s="233"/>
      <c r="K155" s="233"/>
      <c r="L155" s="233"/>
      <c r="M155" s="264"/>
    </row>
    <row r="156" spans="1:13">
      <c r="A156" s="191"/>
      <c r="B156" s="164"/>
      <c r="M156" s="216"/>
    </row>
    <row r="157" spans="1:13">
      <c r="A157" s="191">
        <f>A154+1</f>
        <v>150</v>
      </c>
      <c r="B157" s="164"/>
      <c r="C157" s="393" t="s">
        <v>448</v>
      </c>
      <c r="D157" s="196"/>
      <c r="E157" s="394"/>
      <c r="M157" s="216"/>
    </row>
    <row r="158" spans="1:13">
      <c r="A158" s="191">
        <f t="shared" ref="A158:A165" si="5">+A157+1</f>
        <v>151</v>
      </c>
      <c r="B158" s="164"/>
      <c r="C158" s="23" t="s">
        <v>449</v>
      </c>
      <c r="D158" s="23"/>
      <c r="E158" s="395">
        <v>0</v>
      </c>
      <c r="F158" s="152" t="s">
        <v>296</v>
      </c>
      <c r="M158" s="216"/>
    </row>
    <row r="159" spans="1:13">
      <c r="A159" s="191">
        <f t="shared" si="5"/>
        <v>152</v>
      </c>
      <c r="B159" s="164"/>
      <c r="C159" s="23" t="s">
        <v>450</v>
      </c>
      <c r="D159" s="23"/>
      <c r="E159" s="395">
        <v>0</v>
      </c>
      <c r="M159" s="216"/>
    </row>
    <row r="160" spans="1:13">
      <c r="A160" s="191">
        <f t="shared" si="5"/>
        <v>153</v>
      </c>
      <c r="B160" s="164"/>
      <c r="C160" s="23" t="s">
        <v>451</v>
      </c>
      <c r="D160" s="23" t="s">
        <v>452</v>
      </c>
      <c r="E160" s="396">
        <f>IF(E159=0,0,E158/E159)</f>
        <v>0</v>
      </c>
      <c r="M160" s="216"/>
    </row>
    <row r="161" spans="1:13">
      <c r="A161" s="191">
        <f t="shared" si="5"/>
        <v>154</v>
      </c>
      <c r="B161" s="164"/>
      <c r="C161" s="23" t="s">
        <v>453</v>
      </c>
      <c r="D161" s="23" t="s">
        <v>454</v>
      </c>
      <c r="E161" s="397">
        <v>0</v>
      </c>
      <c r="M161" s="216"/>
    </row>
    <row r="162" spans="1:13">
      <c r="A162" s="191">
        <f t="shared" si="5"/>
        <v>155</v>
      </c>
      <c r="B162" s="164"/>
      <c r="C162" s="23" t="s">
        <v>455</v>
      </c>
      <c r="D162" s="23" t="s">
        <v>456</v>
      </c>
      <c r="E162" s="94">
        <f>+E160*E161</f>
        <v>0</v>
      </c>
      <c r="M162" s="216"/>
    </row>
    <row r="163" spans="1:13">
      <c r="A163" s="191">
        <f t="shared" si="5"/>
        <v>156</v>
      </c>
      <c r="B163" s="164"/>
      <c r="C163" s="23" t="s">
        <v>457</v>
      </c>
      <c r="D163" s="23" t="s">
        <v>429</v>
      </c>
      <c r="E163" s="397">
        <v>0</v>
      </c>
      <c r="M163" s="216"/>
    </row>
    <row r="164" spans="1:13">
      <c r="A164" s="191">
        <f t="shared" si="5"/>
        <v>157</v>
      </c>
      <c r="B164" s="164"/>
      <c r="C164" s="23" t="s">
        <v>458</v>
      </c>
      <c r="D164" s="23" t="s">
        <v>459</v>
      </c>
      <c r="E164" s="94">
        <f>+E162-E163</f>
        <v>0</v>
      </c>
      <c r="M164" s="216"/>
    </row>
    <row r="165" spans="1:13">
      <c r="A165" s="191">
        <f t="shared" si="5"/>
        <v>158</v>
      </c>
      <c r="B165" s="164"/>
      <c r="C165" s="23" t="str">
        <f>"Lines "&amp;A158&amp;"-"&amp;A160&amp;" cannot change absent approval or acceptance by FERC in a separate proceeding. "</f>
        <v xml:space="preserve">Lines 151-153 cannot change absent approval or acceptance by FERC in a separate proceeding. </v>
      </c>
      <c r="D165" s="23"/>
      <c r="E165" s="23"/>
      <c r="M165" s="216"/>
    </row>
    <row r="166" spans="1:13">
      <c r="A166" s="191"/>
      <c r="B166" s="164"/>
      <c r="C166" s="23"/>
      <c r="D166" s="23"/>
      <c r="E166" s="23"/>
      <c r="M166" s="216"/>
    </row>
    <row r="167" spans="1:13">
      <c r="A167" s="191">
        <f>+A165+1</f>
        <v>159</v>
      </c>
      <c r="C167" s="152" t="s">
        <v>460</v>
      </c>
      <c r="E167" s="398">
        <f>E164</f>
        <v>0</v>
      </c>
      <c r="M167" s="216"/>
    </row>
    <row r="168" spans="1:13">
      <c r="A168" s="191"/>
      <c r="M168" s="216"/>
    </row>
    <row r="169" spans="1:13">
      <c r="A169" s="295"/>
      <c r="C169" s="399" t="s">
        <v>461</v>
      </c>
      <c r="M169" s="216"/>
    </row>
    <row r="170" spans="1:13">
      <c r="A170" s="295"/>
      <c r="M170" s="216"/>
    </row>
    <row r="171" spans="1:13" ht="16.5" thickBot="1">
      <c r="A171" s="340"/>
      <c r="B171" s="225"/>
      <c r="C171" s="225"/>
      <c r="D171" s="225"/>
      <c r="E171" s="225"/>
      <c r="F171" s="225"/>
      <c r="G171" s="225"/>
      <c r="H171" s="225"/>
      <c r="I171" s="225"/>
      <c r="J171" s="225"/>
      <c r="K171" s="225"/>
      <c r="L171" s="225"/>
      <c r="M171" s="328"/>
    </row>
    <row r="172" spans="1:13">
      <c r="A172" s="152"/>
    </row>
    <row r="173" spans="1:13">
      <c r="A173" s="152"/>
    </row>
    <row r="174" spans="1:13">
      <c r="A174" s="152"/>
    </row>
    <row r="175" spans="1:13">
      <c r="A175" s="152"/>
    </row>
    <row r="176" spans="1:13">
      <c r="A176" s="152"/>
    </row>
    <row r="177" spans="1:1">
      <c r="A177" s="152"/>
    </row>
    <row r="178" spans="1:1">
      <c r="A178" s="152"/>
    </row>
    <row r="179" spans="1:1">
      <c r="A179" s="152"/>
    </row>
    <row r="180" spans="1:1">
      <c r="A180" s="152"/>
    </row>
    <row r="181" spans="1:1">
      <c r="A181" s="152"/>
    </row>
    <row r="182" spans="1:1">
      <c r="A182" s="152"/>
    </row>
    <row r="183" spans="1:1">
      <c r="A183" s="152"/>
    </row>
    <row r="184" spans="1:1">
      <c r="A184" s="152"/>
    </row>
  </sheetData>
  <mergeCells count="25">
    <mergeCell ref="A112:F112"/>
    <mergeCell ref="H112:M112"/>
    <mergeCell ref="H114:M114"/>
    <mergeCell ref="H115:M115"/>
    <mergeCell ref="A153:F153"/>
    <mergeCell ref="J153:M153"/>
    <mergeCell ref="A104:F104"/>
    <mergeCell ref="J104:M104"/>
    <mergeCell ref="A57:F57"/>
    <mergeCell ref="J57:M57"/>
    <mergeCell ref="J58:M58"/>
    <mergeCell ref="A73:F73"/>
    <mergeCell ref="J73:M73"/>
    <mergeCell ref="J74:M74"/>
    <mergeCell ref="A86:F86"/>
    <mergeCell ref="J86:M86"/>
    <mergeCell ref="J93:M93"/>
    <mergeCell ref="A97:F97"/>
    <mergeCell ref="L97:M97"/>
    <mergeCell ref="G53:M53"/>
    <mergeCell ref="A3:F3"/>
    <mergeCell ref="J3:M3"/>
    <mergeCell ref="J48:M48"/>
    <mergeCell ref="A50:F50"/>
    <mergeCell ref="J50:M50"/>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2AF4A-8CCD-4F5A-88AD-D75D3CFDE216}">
  <sheetPr>
    <pageSetUpPr fitToPage="1"/>
  </sheetPr>
  <dimension ref="A1:R46"/>
  <sheetViews>
    <sheetView view="pageBreakPreview" zoomScale="70" zoomScaleNormal="85" zoomScaleSheetLayoutView="70" workbookViewId="0">
      <selection activeCell="E187" sqref="E187"/>
    </sheetView>
  </sheetViews>
  <sheetFormatPr defaultRowHeight="15.75"/>
  <cols>
    <col min="1" max="1" width="9.21875" style="400"/>
    <col min="2" max="2" width="57.6640625" style="23" customWidth="1"/>
    <col min="3" max="3" width="22.44140625" style="23" customWidth="1"/>
    <col min="4" max="4" width="13.44140625" style="35" customWidth="1"/>
    <col min="5" max="5" width="11.109375" style="35" customWidth="1"/>
    <col min="6" max="6" width="12.109375" style="35" customWidth="1"/>
    <col min="7" max="12" width="9.21875" style="35" customWidth="1"/>
    <col min="13" max="13" width="14.109375" style="35" customWidth="1"/>
    <col min="14" max="14" width="11.44140625" style="35" customWidth="1"/>
    <col min="15" max="15" width="13.109375" style="35" customWidth="1"/>
    <col min="16" max="16" width="13.44140625" style="35" customWidth="1"/>
    <col min="17" max="17" width="17.5546875" style="35" customWidth="1"/>
    <col min="18" max="18" width="9.21875" style="402"/>
  </cols>
  <sheetData>
    <row r="1" spans="1:18">
      <c r="E1" s="401"/>
    </row>
    <row r="2" spans="1:18">
      <c r="E2" s="401"/>
    </row>
    <row r="3" spans="1:18" s="165" customFormat="1">
      <c r="A3" s="403" t="s">
        <v>462</v>
      </c>
      <c r="B3" s="152"/>
      <c r="C3" s="152"/>
      <c r="D3" s="31"/>
      <c r="E3" s="31"/>
      <c r="F3" s="31"/>
      <c r="G3" s="31"/>
      <c r="H3" s="31"/>
      <c r="I3" s="31"/>
      <c r="J3" s="31"/>
      <c r="K3" s="31"/>
      <c r="L3" s="31"/>
      <c r="M3" s="31"/>
      <c r="N3" s="31"/>
      <c r="O3" s="31"/>
      <c r="P3" s="31"/>
      <c r="Q3" s="31"/>
      <c r="R3" s="404"/>
    </row>
    <row r="4" spans="1:18" s="165" customFormat="1" ht="16.5" thickBot="1">
      <c r="A4" s="906" t="s">
        <v>289</v>
      </c>
      <c r="B4" s="906"/>
      <c r="C4" s="906"/>
      <c r="D4" s="906"/>
      <c r="E4" s="906"/>
      <c r="F4" s="906"/>
      <c r="G4" s="405"/>
      <c r="H4" s="915"/>
      <c r="I4" s="916"/>
      <c r="J4" s="916"/>
      <c r="K4" s="916"/>
      <c r="L4" s="916"/>
      <c r="M4" s="916"/>
      <c r="N4" s="31"/>
      <c r="O4" s="31"/>
      <c r="P4" s="31"/>
      <c r="Q4" s="31"/>
      <c r="R4" s="404"/>
    </row>
    <row r="5" spans="1:18" s="165" customFormat="1">
      <c r="A5" s="406"/>
      <c r="B5" s="407"/>
      <c r="C5" s="266"/>
      <c r="D5" s="408"/>
      <c r="E5" s="409"/>
      <c r="F5" s="409"/>
      <c r="G5" s="409"/>
      <c r="H5" s="408"/>
      <c r="I5" s="408"/>
      <c r="J5" s="408"/>
      <c r="K5" s="408"/>
      <c r="L5" s="408"/>
      <c r="M5" s="408"/>
      <c r="N5" s="410"/>
      <c r="O5" s="410"/>
      <c r="P5" s="410"/>
      <c r="Q5" s="411"/>
      <c r="R5" s="404"/>
    </row>
    <row r="6" spans="1:18">
      <c r="A6" s="412"/>
      <c r="B6" s="21"/>
      <c r="C6" s="21"/>
      <c r="D6" s="215"/>
      <c r="E6" s="215"/>
      <c r="F6" s="215"/>
      <c r="G6" s="215"/>
      <c r="H6" s="215"/>
      <c r="I6" s="215"/>
      <c r="J6" s="215"/>
      <c r="K6" s="215"/>
      <c r="L6" s="215"/>
      <c r="M6" s="215"/>
      <c r="N6" s="215"/>
      <c r="O6" s="215"/>
      <c r="P6" s="215"/>
      <c r="Q6" s="413"/>
    </row>
    <row r="7" spans="1:18">
      <c r="A7" s="414"/>
      <c r="B7" s="21"/>
      <c r="C7" s="22" t="s">
        <v>463</v>
      </c>
      <c r="D7" s="215"/>
      <c r="E7" s="215"/>
      <c r="F7" s="215"/>
      <c r="G7" s="215"/>
      <c r="H7" s="215"/>
      <c r="I7" s="215"/>
      <c r="J7" s="215"/>
      <c r="K7" s="215"/>
      <c r="L7" s="215"/>
      <c r="M7" s="215"/>
      <c r="N7" s="215"/>
      <c r="O7" s="215"/>
      <c r="P7" s="215"/>
      <c r="Q7" s="413"/>
    </row>
    <row r="8" spans="1:18">
      <c r="A8" s="415" t="s">
        <v>248</v>
      </c>
      <c r="B8" s="416" t="s">
        <v>464</v>
      </c>
      <c r="C8" s="416" t="s">
        <v>465</v>
      </c>
      <c r="D8" s="417" t="s">
        <v>293</v>
      </c>
      <c r="E8" s="417" t="s">
        <v>295</v>
      </c>
      <c r="F8" s="417" t="s">
        <v>297</v>
      </c>
      <c r="G8" s="417" t="s">
        <v>298</v>
      </c>
      <c r="H8" s="417" t="s">
        <v>299</v>
      </c>
      <c r="I8" s="417" t="s">
        <v>300</v>
      </c>
      <c r="J8" s="417" t="s">
        <v>466</v>
      </c>
      <c r="K8" s="417" t="s">
        <v>302</v>
      </c>
      <c r="L8" s="417" t="s">
        <v>303</v>
      </c>
      <c r="M8" s="417" t="s">
        <v>304</v>
      </c>
      <c r="N8" s="417" t="s">
        <v>311</v>
      </c>
      <c r="O8" s="417" t="s">
        <v>306</v>
      </c>
      <c r="P8" s="417" t="s">
        <v>293</v>
      </c>
      <c r="Q8" s="418" t="s">
        <v>467</v>
      </c>
    </row>
    <row r="9" spans="1:18">
      <c r="A9" s="414"/>
      <c r="D9" s="320" t="s">
        <v>468</v>
      </c>
      <c r="E9" s="320" t="s">
        <v>469</v>
      </c>
      <c r="F9" s="320" t="s">
        <v>470</v>
      </c>
      <c r="G9" s="320" t="s">
        <v>471</v>
      </c>
      <c r="H9" s="320" t="s">
        <v>472</v>
      </c>
      <c r="I9" s="320" t="s">
        <v>473</v>
      </c>
      <c r="J9" s="320" t="s">
        <v>474</v>
      </c>
      <c r="K9" s="320" t="s">
        <v>475</v>
      </c>
      <c r="L9" s="320" t="s">
        <v>476</v>
      </c>
      <c r="M9" s="320" t="s">
        <v>477</v>
      </c>
      <c r="N9" s="320" t="s">
        <v>478</v>
      </c>
      <c r="O9" s="320" t="s">
        <v>479</v>
      </c>
      <c r="P9" s="320" t="s">
        <v>480</v>
      </c>
      <c r="Q9" s="419" t="s">
        <v>481</v>
      </c>
    </row>
    <row r="10" spans="1:18">
      <c r="A10" s="414">
        <f>+'2a - Cost Support'!A167+1</f>
        <v>160</v>
      </c>
      <c r="B10" s="23" t="s">
        <v>482</v>
      </c>
      <c r="D10" s="420"/>
      <c r="E10" s="420"/>
      <c r="F10" s="420"/>
      <c r="G10" s="420"/>
      <c r="H10" s="420"/>
      <c r="I10" s="420"/>
      <c r="J10" s="420"/>
      <c r="K10" s="420"/>
      <c r="L10" s="420"/>
      <c r="M10" s="420"/>
      <c r="N10" s="420"/>
      <c r="O10" s="420"/>
      <c r="P10" s="420"/>
      <c r="Q10" s="421"/>
    </row>
    <row r="11" spans="1:18">
      <c r="A11" s="414">
        <f t="shared" ref="A11:A41" si="0">A10+1</f>
        <v>161</v>
      </c>
      <c r="B11" s="422" t="s">
        <v>483</v>
      </c>
      <c r="C11" s="21" t="s">
        <v>484</v>
      </c>
      <c r="D11" s="423">
        <v>0</v>
      </c>
      <c r="E11" s="423">
        <v>0</v>
      </c>
      <c r="F11" s="423">
        <v>0</v>
      </c>
      <c r="G11" s="423">
        <v>0</v>
      </c>
      <c r="H11" s="423">
        <v>0</v>
      </c>
      <c r="I11" s="423">
        <v>0</v>
      </c>
      <c r="J11" s="423">
        <v>0</v>
      </c>
      <c r="K11" s="423">
        <v>0</v>
      </c>
      <c r="L11" s="423">
        <v>0</v>
      </c>
      <c r="M11" s="423">
        <v>0</v>
      </c>
      <c r="N11" s="423">
        <v>0</v>
      </c>
      <c r="O11" s="423">
        <v>0</v>
      </c>
      <c r="P11" s="423">
        <v>0</v>
      </c>
      <c r="Q11" s="421">
        <f>AVERAGE(D11:P11)</f>
        <v>0</v>
      </c>
    </row>
    <row r="12" spans="1:18" ht="15.6" customHeight="1">
      <c r="A12" s="414">
        <f t="shared" si="0"/>
        <v>162</v>
      </c>
      <c r="B12" s="422" t="s">
        <v>485</v>
      </c>
      <c r="C12" s="21" t="s">
        <v>486</v>
      </c>
      <c r="D12" s="424">
        <v>34092733.758339249</v>
      </c>
      <c r="E12" s="424">
        <v>37678579.865158081</v>
      </c>
      <c r="F12" s="424">
        <v>38511227.78762459</v>
      </c>
      <c r="G12" s="424">
        <v>39679378.862865798</v>
      </c>
      <c r="H12" s="424">
        <v>41436687.204306953</v>
      </c>
      <c r="I12" s="424">
        <v>42420059.880570248</v>
      </c>
      <c r="J12" s="424">
        <v>43346016.904400855</v>
      </c>
      <c r="K12" s="424">
        <v>44378557.011107564</v>
      </c>
      <c r="L12" s="424">
        <v>45306599.111414582</v>
      </c>
      <c r="M12" s="424">
        <v>46143205.880027212</v>
      </c>
      <c r="N12" s="424">
        <v>47551791.534374431</v>
      </c>
      <c r="O12" s="424">
        <v>48666517.900460839</v>
      </c>
      <c r="P12" s="424">
        <v>50099233.860131718</v>
      </c>
      <c r="Q12" s="425">
        <f>AVERAGE(D12:P12)</f>
        <v>43023891.504675552</v>
      </c>
    </row>
    <row r="13" spans="1:18">
      <c r="A13" s="414">
        <f t="shared" si="0"/>
        <v>163</v>
      </c>
      <c r="B13" s="422" t="s">
        <v>487</v>
      </c>
      <c r="C13" s="21" t="s">
        <v>488</v>
      </c>
      <c r="D13" s="426">
        <v>0</v>
      </c>
      <c r="E13" s="426">
        <v>0</v>
      </c>
      <c r="F13" s="426">
        <v>0</v>
      </c>
      <c r="G13" s="426">
        <v>0</v>
      </c>
      <c r="H13" s="426">
        <v>0</v>
      </c>
      <c r="I13" s="426">
        <v>0</v>
      </c>
      <c r="J13" s="426">
        <v>0</v>
      </c>
      <c r="K13" s="426">
        <v>0</v>
      </c>
      <c r="L13" s="426">
        <v>0</v>
      </c>
      <c r="M13" s="426">
        <v>0</v>
      </c>
      <c r="N13" s="426">
        <v>0</v>
      </c>
      <c r="O13" s="426">
        <v>0</v>
      </c>
      <c r="P13" s="426">
        <v>0</v>
      </c>
      <c r="Q13" s="427">
        <f>AVERAGE(D13:P13)</f>
        <v>0</v>
      </c>
    </row>
    <row r="14" spans="1:18" ht="16.5" thickBot="1">
      <c r="A14" s="414">
        <f t="shared" si="0"/>
        <v>164</v>
      </c>
      <c r="B14" s="428" t="s">
        <v>489</v>
      </c>
      <c r="C14" s="21" t="s">
        <v>490</v>
      </c>
      <c r="D14" s="429">
        <v>0</v>
      </c>
      <c r="E14" s="429">
        <v>0</v>
      </c>
      <c r="F14" s="429">
        <v>0</v>
      </c>
      <c r="G14" s="429">
        <v>0</v>
      </c>
      <c r="H14" s="429">
        <v>0</v>
      </c>
      <c r="I14" s="429">
        <v>0</v>
      </c>
      <c r="J14" s="429">
        <v>0</v>
      </c>
      <c r="K14" s="429">
        <v>0</v>
      </c>
      <c r="L14" s="429">
        <v>0</v>
      </c>
      <c r="M14" s="429">
        <v>0</v>
      </c>
      <c r="N14" s="429">
        <v>0</v>
      </c>
      <c r="O14" s="429">
        <v>0</v>
      </c>
      <c r="P14" s="429">
        <v>0</v>
      </c>
      <c r="Q14" s="427">
        <f>AVERAGE(D14:P14)</f>
        <v>0</v>
      </c>
    </row>
    <row r="15" spans="1:18" ht="16.5" thickBot="1">
      <c r="A15" s="414">
        <f t="shared" si="0"/>
        <v>165</v>
      </c>
      <c r="B15" s="430" t="s">
        <v>491</v>
      </c>
      <c r="C15" s="21" t="str">
        <f>"Sum Lines "&amp;A11&amp;" - "&amp;A14</f>
        <v>Sum Lines 161 - 164</v>
      </c>
      <c r="D15" s="420">
        <f>SUM(D11:D14)</f>
        <v>34092733.758339249</v>
      </c>
      <c r="E15" s="420">
        <f>SUM(E11:E14)</f>
        <v>37678579.865158081</v>
      </c>
      <c r="F15" s="420">
        <f t="shared" ref="F15:P15" si="1">SUM(F11:F14)</f>
        <v>38511227.78762459</v>
      </c>
      <c r="G15" s="420">
        <f t="shared" si="1"/>
        <v>39679378.862865798</v>
      </c>
      <c r="H15" s="420">
        <f t="shared" si="1"/>
        <v>41436687.204306953</v>
      </c>
      <c r="I15" s="420">
        <f t="shared" si="1"/>
        <v>42420059.880570248</v>
      </c>
      <c r="J15" s="420">
        <f t="shared" si="1"/>
        <v>43346016.904400855</v>
      </c>
      <c r="K15" s="420">
        <f t="shared" si="1"/>
        <v>44378557.011107564</v>
      </c>
      <c r="L15" s="420">
        <f t="shared" si="1"/>
        <v>45306599.111414582</v>
      </c>
      <c r="M15" s="420">
        <f t="shared" si="1"/>
        <v>46143205.880027212</v>
      </c>
      <c r="N15" s="420">
        <f t="shared" si="1"/>
        <v>47551791.534374431</v>
      </c>
      <c r="O15" s="420">
        <f t="shared" si="1"/>
        <v>48666517.900460839</v>
      </c>
      <c r="P15" s="420">
        <f t="shared" si="1"/>
        <v>50099233.860131718</v>
      </c>
      <c r="Q15" s="431">
        <f>SUM(Q11:Q14)</f>
        <v>43023891.504675552</v>
      </c>
    </row>
    <row r="16" spans="1:18" ht="16.5" thickBot="1">
      <c r="A16" s="414">
        <f t="shared" si="0"/>
        <v>166</v>
      </c>
      <c r="D16" s="420"/>
      <c r="E16" s="420"/>
      <c r="F16" s="420"/>
      <c r="G16" s="420"/>
      <c r="H16" s="420"/>
      <c r="I16" s="420"/>
      <c r="J16" s="420"/>
      <c r="K16" s="420"/>
      <c r="L16" s="420"/>
      <c r="M16" s="420"/>
      <c r="N16" s="420"/>
      <c r="O16" s="420"/>
      <c r="P16" s="420"/>
      <c r="Q16" s="421"/>
    </row>
    <row r="17" spans="1:17" ht="16.5" thickBot="1">
      <c r="A17" s="414">
        <f t="shared" si="0"/>
        <v>167</v>
      </c>
      <c r="B17" s="430" t="s">
        <v>492</v>
      </c>
      <c r="C17" s="21" t="s">
        <v>493</v>
      </c>
      <c r="D17" s="424">
        <v>0</v>
      </c>
      <c r="E17" s="424">
        <v>0</v>
      </c>
      <c r="F17" s="424">
        <v>0</v>
      </c>
      <c r="G17" s="424">
        <v>0</v>
      </c>
      <c r="H17" s="424">
        <v>0</v>
      </c>
      <c r="I17" s="424">
        <v>0</v>
      </c>
      <c r="J17" s="424">
        <v>0</v>
      </c>
      <c r="K17" s="424">
        <v>0</v>
      </c>
      <c r="L17" s="424">
        <v>0</v>
      </c>
      <c r="M17" s="424">
        <v>0</v>
      </c>
      <c r="N17" s="424">
        <v>0</v>
      </c>
      <c r="O17" s="424">
        <v>0</v>
      </c>
      <c r="P17" s="424">
        <v>0</v>
      </c>
      <c r="Q17" s="431">
        <f>AVERAGE(D17:P17)</f>
        <v>0</v>
      </c>
    </row>
    <row r="18" spans="1:17">
      <c r="A18" s="414">
        <f t="shared" si="0"/>
        <v>168</v>
      </c>
      <c r="D18" s="420"/>
      <c r="E18" s="420"/>
      <c r="F18" s="420"/>
      <c r="G18" s="420"/>
      <c r="H18" s="420"/>
      <c r="I18" s="420"/>
      <c r="J18" s="420"/>
      <c r="K18" s="420"/>
      <c r="L18" s="420"/>
      <c r="M18" s="420"/>
      <c r="N18" s="420"/>
      <c r="O18" s="420"/>
      <c r="P18" s="420"/>
      <c r="Q18" s="421"/>
    </row>
    <row r="19" spans="1:17">
      <c r="A19" s="414">
        <f t="shared" si="0"/>
        <v>169</v>
      </c>
      <c r="B19" s="23" t="s">
        <v>494</v>
      </c>
      <c r="C19" s="21" t="s">
        <v>495</v>
      </c>
      <c r="D19" s="424">
        <v>51139100.637508877</v>
      </c>
      <c r="E19" s="424">
        <v>56517869.797737122</v>
      </c>
      <c r="F19" s="424">
        <v>57766841.681436889</v>
      </c>
      <c r="G19" s="424">
        <v>59519068.294298701</v>
      </c>
      <c r="H19" s="424">
        <v>62155030.806460418</v>
      </c>
      <c r="I19" s="424">
        <v>63630089.820855364</v>
      </c>
      <c r="J19" s="424">
        <v>65019025.356601268</v>
      </c>
      <c r="K19" s="424">
        <v>66567835.516661346</v>
      </c>
      <c r="L19" s="424">
        <v>67959898.667121857</v>
      </c>
      <c r="M19" s="424">
        <v>69214808.820040807</v>
      </c>
      <c r="N19" s="424">
        <v>71327687.301561639</v>
      </c>
      <c r="O19" s="424">
        <v>72999776.850691259</v>
      </c>
      <c r="P19" s="424">
        <v>75148850.790197566</v>
      </c>
      <c r="Q19" s="421">
        <f>AVERAGE(D19:P19)</f>
        <v>64535837.257013321</v>
      </c>
    </row>
    <row r="20" spans="1:17">
      <c r="A20" s="414">
        <f t="shared" si="0"/>
        <v>170</v>
      </c>
      <c r="B20" s="422" t="s">
        <v>496</v>
      </c>
      <c r="C20" s="21" t="s">
        <v>493</v>
      </c>
      <c r="D20" s="424">
        <v>0</v>
      </c>
      <c r="E20" s="424">
        <v>0</v>
      </c>
      <c r="F20" s="424">
        <v>0</v>
      </c>
      <c r="G20" s="424">
        <v>0</v>
      </c>
      <c r="H20" s="424">
        <v>0</v>
      </c>
      <c r="I20" s="424">
        <v>0</v>
      </c>
      <c r="J20" s="424">
        <v>0</v>
      </c>
      <c r="K20" s="424">
        <v>0</v>
      </c>
      <c r="L20" s="424">
        <v>0</v>
      </c>
      <c r="M20" s="424">
        <v>0</v>
      </c>
      <c r="N20" s="424">
        <v>0</v>
      </c>
      <c r="O20" s="424">
        <v>0</v>
      </c>
      <c r="P20" s="424">
        <v>0</v>
      </c>
      <c r="Q20" s="421">
        <f>AVERAGE(D20:P20)</f>
        <v>0</v>
      </c>
    </row>
    <row r="21" spans="1:17">
      <c r="A21" s="414">
        <f t="shared" si="0"/>
        <v>171</v>
      </c>
      <c r="B21" s="432" t="s">
        <v>497</v>
      </c>
      <c r="C21" s="21" t="s">
        <v>498</v>
      </c>
      <c r="D21" s="424">
        <v>0</v>
      </c>
      <c r="E21" s="424">
        <v>0</v>
      </c>
      <c r="F21" s="424">
        <v>0</v>
      </c>
      <c r="G21" s="424">
        <v>0</v>
      </c>
      <c r="H21" s="424">
        <v>0</v>
      </c>
      <c r="I21" s="424">
        <v>0</v>
      </c>
      <c r="J21" s="424">
        <v>0</v>
      </c>
      <c r="K21" s="424">
        <v>0</v>
      </c>
      <c r="L21" s="424">
        <v>0</v>
      </c>
      <c r="M21" s="424">
        <v>0</v>
      </c>
      <c r="N21" s="424">
        <v>0</v>
      </c>
      <c r="O21" s="424">
        <v>0</v>
      </c>
      <c r="P21" s="424">
        <v>0</v>
      </c>
      <c r="Q21" s="421">
        <f>AVERAGE(D21:P21)</f>
        <v>0</v>
      </c>
    </row>
    <row r="22" spans="1:17" ht="16.5" thickBot="1">
      <c r="A22" s="414">
        <f t="shared" si="0"/>
        <v>172</v>
      </c>
      <c r="B22" s="432" t="s">
        <v>499</v>
      </c>
      <c r="C22" s="21" t="s">
        <v>500</v>
      </c>
      <c r="D22" s="429">
        <v>0</v>
      </c>
      <c r="E22" s="429">
        <v>0</v>
      </c>
      <c r="F22" s="429">
        <v>0</v>
      </c>
      <c r="G22" s="429">
        <v>0</v>
      </c>
      <c r="H22" s="429">
        <v>0</v>
      </c>
      <c r="I22" s="429">
        <v>0</v>
      </c>
      <c r="J22" s="429">
        <v>0</v>
      </c>
      <c r="K22" s="429">
        <v>0</v>
      </c>
      <c r="L22" s="429">
        <v>0</v>
      </c>
      <c r="M22" s="429">
        <v>0</v>
      </c>
      <c r="N22" s="429">
        <v>0</v>
      </c>
      <c r="O22" s="429">
        <v>0</v>
      </c>
      <c r="P22" s="429">
        <v>0</v>
      </c>
      <c r="Q22" s="433">
        <f>AVERAGE(D22:P22)</f>
        <v>0</v>
      </c>
    </row>
    <row r="23" spans="1:17" ht="16.5" thickBot="1">
      <c r="A23" s="414">
        <f t="shared" si="0"/>
        <v>173</v>
      </c>
      <c r="B23" s="23" t="str">
        <f>"Adjusted Common Equity"</f>
        <v>Adjusted Common Equity</v>
      </c>
      <c r="C23" s="21" t="str">
        <f>"Ln "&amp; A19&amp;" - "&amp;A20&amp;" - "&amp;A21&amp;" - "&amp;A22</f>
        <v>Ln 169 - 170 - 171 - 172</v>
      </c>
      <c r="D23" s="420">
        <f>D19-D20-D21-D22</f>
        <v>51139100.637508877</v>
      </c>
      <c r="E23" s="420">
        <f t="shared" ref="E23:Q23" si="2">E19-E20-E21-E22</f>
        <v>56517869.797737122</v>
      </c>
      <c r="F23" s="420">
        <f t="shared" si="2"/>
        <v>57766841.681436889</v>
      </c>
      <c r="G23" s="420">
        <f t="shared" si="2"/>
        <v>59519068.294298701</v>
      </c>
      <c r="H23" s="420">
        <f t="shared" si="2"/>
        <v>62155030.806460418</v>
      </c>
      <c r="I23" s="420">
        <f t="shared" si="2"/>
        <v>63630089.820855364</v>
      </c>
      <c r="J23" s="420">
        <f t="shared" si="2"/>
        <v>65019025.356601268</v>
      </c>
      <c r="K23" s="420">
        <f t="shared" si="2"/>
        <v>66567835.516661346</v>
      </c>
      <c r="L23" s="420">
        <f t="shared" si="2"/>
        <v>67959898.667121857</v>
      </c>
      <c r="M23" s="420">
        <f t="shared" si="2"/>
        <v>69214808.820040807</v>
      </c>
      <c r="N23" s="420">
        <f t="shared" si="2"/>
        <v>71327687.301561639</v>
      </c>
      <c r="O23" s="420">
        <f t="shared" si="2"/>
        <v>72999776.850691259</v>
      </c>
      <c r="P23" s="420">
        <f t="shared" si="2"/>
        <v>75148850.790197566</v>
      </c>
      <c r="Q23" s="431">
        <f t="shared" si="2"/>
        <v>64535837.257013321</v>
      </c>
    </row>
    <row r="24" spans="1:17">
      <c r="A24" s="414">
        <f t="shared" si="0"/>
        <v>174</v>
      </c>
      <c r="D24" s="420"/>
      <c r="E24" s="420"/>
      <c r="F24" s="420"/>
      <c r="G24" s="420"/>
      <c r="H24" s="420"/>
      <c r="I24" s="420"/>
      <c r="J24" s="420"/>
      <c r="K24" s="420"/>
      <c r="L24" s="420"/>
      <c r="M24" s="420"/>
      <c r="N24" s="420"/>
      <c r="O24" s="420"/>
      <c r="P24" s="420"/>
      <c r="Q24" s="421"/>
    </row>
    <row r="25" spans="1:17">
      <c r="A25" s="414">
        <f t="shared" si="0"/>
        <v>175</v>
      </c>
      <c r="B25" s="23" t="str">
        <f>"Total (Line "&amp;A15&amp;" plus Line "&amp;A17&amp;" plus Line "&amp;A23&amp;")"</f>
        <v>Total (Line 165 plus Line 167 plus Line 173)</v>
      </c>
      <c r="D25" s="420">
        <f>D15+D17+D23</f>
        <v>85231834.395848125</v>
      </c>
      <c r="E25" s="420">
        <f t="shared" ref="E25:Q25" si="3">E15+E17+E23</f>
        <v>94196449.662895203</v>
      </c>
      <c r="F25" s="420">
        <f t="shared" si="3"/>
        <v>96278069.469061479</v>
      </c>
      <c r="G25" s="420">
        <f t="shared" si="3"/>
        <v>99198447.157164499</v>
      </c>
      <c r="H25" s="420">
        <f t="shared" si="3"/>
        <v>103591718.01076737</v>
      </c>
      <c r="I25" s="420">
        <f t="shared" si="3"/>
        <v>106050149.70142561</v>
      </c>
      <c r="J25" s="420">
        <f t="shared" si="3"/>
        <v>108365042.26100212</v>
      </c>
      <c r="K25" s="420">
        <f t="shared" si="3"/>
        <v>110946392.52776891</v>
      </c>
      <c r="L25" s="420">
        <f t="shared" si="3"/>
        <v>113266497.77853644</v>
      </c>
      <c r="M25" s="420">
        <f t="shared" si="3"/>
        <v>115358014.70006803</v>
      </c>
      <c r="N25" s="420">
        <f t="shared" si="3"/>
        <v>118879478.83593607</v>
      </c>
      <c r="O25" s="420">
        <f t="shared" si="3"/>
        <v>121666294.7511521</v>
      </c>
      <c r="P25" s="420">
        <f t="shared" si="3"/>
        <v>125248084.65032929</v>
      </c>
      <c r="Q25" s="421">
        <f t="shared" si="3"/>
        <v>107559728.76168887</v>
      </c>
    </row>
    <row r="26" spans="1:17">
      <c r="A26" s="414">
        <f t="shared" si="0"/>
        <v>176</v>
      </c>
      <c r="D26" s="420"/>
      <c r="E26" s="420"/>
      <c r="F26" s="420"/>
      <c r="G26" s="420"/>
      <c r="H26" s="420"/>
      <c r="I26" s="420"/>
      <c r="J26" s="420"/>
      <c r="K26" s="420"/>
      <c r="L26" s="420"/>
      <c r="M26" s="420"/>
      <c r="N26" s="420"/>
      <c r="O26" s="420"/>
      <c r="P26" s="420"/>
      <c r="Q26" s="421"/>
    </row>
    <row r="27" spans="1:17">
      <c r="A27" s="414">
        <f t="shared" si="0"/>
        <v>177</v>
      </c>
      <c r="B27" s="23" t="s">
        <v>501</v>
      </c>
      <c r="D27" s="420"/>
      <c r="E27" s="420"/>
      <c r="F27" s="420"/>
      <c r="G27" s="420"/>
      <c r="H27" s="420"/>
      <c r="I27" s="420"/>
      <c r="J27" s="420"/>
      <c r="K27" s="420"/>
      <c r="L27" s="420"/>
      <c r="M27" s="420"/>
      <c r="N27" s="420"/>
      <c r="O27" s="420"/>
      <c r="P27" s="434"/>
      <c r="Q27" s="435"/>
    </row>
    <row r="28" spans="1:17">
      <c r="A28" s="414">
        <f t="shared" si="0"/>
        <v>178</v>
      </c>
      <c r="B28" s="432" t="s">
        <v>502</v>
      </c>
      <c r="C28" s="21" t="s">
        <v>503</v>
      </c>
      <c r="D28" s="215"/>
      <c r="E28" s="215"/>
      <c r="F28" s="215"/>
      <c r="G28" s="215"/>
      <c r="H28" s="215"/>
      <c r="I28" s="215"/>
      <c r="J28" s="215"/>
      <c r="K28" s="215"/>
      <c r="L28" s="215"/>
      <c r="M28" s="215"/>
      <c r="N28" s="215"/>
      <c r="O28" s="215"/>
      <c r="P28" s="436">
        <v>1729560.4384879572</v>
      </c>
      <c r="Q28" s="421"/>
    </row>
    <row r="29" spans="1:17">
      <c r="A29" s="414">
        <f t="shared" si="0"/>
        <v>179</v>
      </c>
      <c r="B29" s="432" t="s">
        <v>504</v>
      </c>
      <c r="C29" s="21" t="s">
        <v>505</v>
      </c>
      <c r="D29" s="215"/>
      <c r="E29" s="420"/>
      <c r="F29" s="420"/>
      <c r="G29" s="420"/>
      <c r="H29" s="420"/>
      <c r="I29" s="420"/>
      <c r="J29" s="420"/>
      <c r="K29" s="420"/>
      <c r="L29" s="420"/>
      <c r="M29" s="437"/>
      <c r="N29" s="420"/>
      <c r="O29" s="420"/>
      <c r="P29" s="436">
        <v>0</v>
      </c>
      <c r="Q29" s="421"/>
    </row>
    <row r="30" spans="1:17">
      <c r="A30" s="414">
        <f t="shared" si="0"/>
        <v>180</v>
      </c>
      <c r="B30" s="432" t="s">
        <v>506</v>
      </c>
      <c r="C30" s="21" t="s">
        <v>507</v>
      </c>
      <c r="D30" s="215"/>
      <c r="E30" s="420"/>
      <c r="F30" s="420"/>
      <c r="G30" s="420"/>
      <c r="H30" s="420"/>
      <c r="I30" s="420"/>
      <c r="J30" s="420"/>
      <c r="K30" s="420"/>
      <c r="L30" s="420"/>
      <c r="M30" s="420"/>
      <c r="N30" s="420"/>
      <c r="O30" s="420"/>
      <c r="P30" s="436">
        <v>0</v>
      </c>
      <c r="Q30" s="421"/>
    </row>
    <row r="31" spans="1:17">
      <c r="A31" s="414">
        <f t="shared" si="0"/>
        <v>181</v>
      </c>
      <c r="B31" s="432" t="s">
        <v>508</v>
      </c>
      <c r="C31" s="21" t="s">
        <v>509</v>
      </c>
      <c r="D31" s="215"/>
      <c r="E31" s="420"/>
      <c r="F31" s="420"/>
      <c r="G31" s="420"/>
      <c r="H31" s="420"/>
      <c r="I31" s="420"/>
      <c r="J31" s="420"/>
      <c r="K31" s="420"/>
      <c r="L31" s="420"/>
      <c r="M31" s="420"/>
      <c r="N31" s="420"/>
      <c r="O31" s="420"/>
      <c r="P31" s="436"/>
      <c r="Q31" s="421"/>
    </row>
    <row r="32" spans="1:17">
      <c r="A32" s="414">
        <f t="shared" si="0"/>
        <v>182</v>
      </c>
      <c r="B32" s="438" t="s">
        <v>510</v>
      </c>
      <c r="C32" s="21" t="s">
        <v>511</v>
      </c>
      <c r="D32" s="215"/>
      <c r="E32" s="420"/>
      <c r="F32" s="420"/>
      <c r="G32" s="420"/>
      <c r="H32" s="420"/>
      <c r="I32" s="420"/>
      <c r="J32" s="420"/>
      <c r="K32" s="420"/>
      <c r="L32" s="420"/>
      <c r="M32" s="420"/>
      <c r="N32" s="420"/>
      <c r="O32" s="420"/>
      <c r="P32" s="436">
        <v>0</v>
      </c>
      <c r="Q32" s="421"/>
    </row>
    <row r="33" spans="1:17">
      <c r="A33" s="414">
        <f t="shared" si="0"/>
        <v>183</v>
      </c>
      <c r="B33" s="438" t="s">
        <v>512</v>
      </c>
      <c r="C33" s="21" t="s">
        <v>513</v>
      </c>
      <c r="D33" s="215"/>
      <c r="E33" s="420"/>
      <c r="F33" s="420"/>
      <c r="G33" s="420"/>
      <c r="H33" s="420"/>
      <c r="I33" s="420"/>
      <c r="J33" s="420"/>
      <c r="K33" s="420"/>
      <c r="L33" s="420"/>
      <c r="M33" s="420"/>
      <c r="N33" s="420"/>
      <c r="O33" s="420"/>
      <c r="P33" s="439">
        <v>0</v>
      </c>
      <c r="Q33" s="421"/>
    </row>
    <row r="34" spans="1:17">
      <c r="A34" s="414">
        <f>A33+1</f>
        <v>184</v>
      </c>
      <c r="B34" s="432" t="s">
        <v>514</v>
      </c>
      <c r="C34" s="21" t="str">
        <f>"Sum Lines "&amp;A28&amp;" - "&amp;A33</f>
        <v>Sum Lines 178 - 183</v>
      </c>
      <c r="D34" s="420"/>
      <c r="E34" s="420"/>
      <c r="F34" s="420"/>
      <c r="G34" s="420"/>
      <c r="H34" s="420"/>
      <c r="I34" s="420"/>
      <c r="J34" s="420"/>
      <c r="K34" s="420"/>
      <c r="L34" s="420"/>
      <c r="M34" s="420"/>
      <c r="N34" s="420"/>
      <c r="O34" s="420"/>
      <c r="P34" s="420">
        <f>SUM(P28:P33)</f>
        <v>1729560.4384879572</v>
      </c>
      <c r="Q34" s="421"/>
    </row>
    <row r="35" spans="1:17" ht="16.5" thickBot="1">
      <c r="A35" s="414">
        <f t="shared" si="0"/>
        <v>185</v>
      </c>
      <c r="B35" s="422"/>
      <c r="D35" s="420"/>
      <c r="E35" s="420"/>
      <c r="F35" s="420"/>
      <c r="G35" s="420"/>
      <c r="H35" s="420"/>
      <c r="I35" s="420"/>
      <c r="J35" s="420"/>
      <c r="K35" s="420"/>
      <c r="L35" s="420"/>
      <c r="M35" s="420"/>
      <c r="N35" s="420"/>
      <c r="O35" s="420"/>
      <c r="P35" s="420"/>
      <c r="Q35" s="421"/>
    </row>
    <row r="36" spans="1:17" ht="16.5" thickBot="1">
      <c r="A36" s="414">
        <f t="shared" si="0"/>
        <v>186</v>
      </c>
      <c r="B36" s="422" t="str">
        <f>"Average Cost of Debt (Line "&amp;A34&amp;", col (m) / Line "&amp;A15&amp;", col (n))"</f>
        <v>Average Cost of Debt (Line 184, col (m) / Line 165, col (n))</v>
      </c>
      <c r="D36" s="420"/>
      <c r="E36" s="420"/>
      <c r="F36" s="420"/>
      <c r="G36" s="420"/>
      <c r="H36" s="420"/>
      <c r="I36" s="420"/>
      <c r="J36" s="420"/>
      <c r="K36" s="420"/>
      <c r="L36" s="420"/>
      <c r="M36" s="420"/>
      <c r="N36" s="420"/>
      <c r="O36" s="420"/>
      <c r="P36" s="440">
        <f>IF(Q15=0,0,ROUND(P34/Q15,4))</f>
        <v>4.02E-2</v>
      </c>
      <c r="Q36" s="421"/>
    </row>
    <row r="37" spans="1:17">
      <c r="A37" s="414">
        <f t="shared" si="0"/>
        <v>187</v>
      </c>
      <c r="B37" s="422"/>
      <c r="D37" s="420"/>
      <c r="E37" s="420"/>
      <c r="F37" s="420"/>
      <c r="G37" s="420"/>
      <c r="H37" s="420"/>
      <c r="I37" s="420"/>
      <c r="J37" s="420"/>
      <c r="K37" s="420"/>
      <c r="L37" s="420"/>
      <c r="M37" s="420"/>
      <c r="N37" s="420"/>
      <c r="O37" s="420"/>
      <c r="P37" s="420"/>
      <c r="Q37" s="421"/>
    </row>
    <row r="38" spans="1:17">
      <c r="A38" s="414">
        <f t="shared" si="0"/>
        <v>188</v>
      </c>
      <c r="B38" s="23" t="s">
        <v>515</v>
      </c>
      <c r="D38" s="420"/>
      <c r="E38" s="420"/>
      <c r="F38" s="420"/>
      <c r="G38" s="420"/>
      <c r="H38" s="420"/>
      <c r="I38" s="420"/>
      <c r="J38" s="420"/>
      <c r="K38" s="420"/>
      <c r="L38" s="420"/>
      <c r="M38" s="420"/>
      <c r="N38" s="420"/>
      <c r="O38" s="420"/>
      <c r="P38" s="420"/>
      <c r="Q38" s="421"/>
    </row>
    <row r="39" spans="1:17">
      <c r="A39" s="414">
        <f t="shared" si="0"/>
        <v>189</v>
      </c>
      <c r="B39" s="422" t="s">
        <v>516</v>
      </c>
      <c r="C39" s="21" t="s">
        <v>517</v>
      </c>
      <c r="D39" s="420"/>
      <c r="E39" s="420"/>
      <c r="F39" s="420"/>
      <c r="G39" s="420"/>
      <c r="H39" s="420"/>
      <c r="I39" s="420"/>
      <c r="J39" s="420"/>
      <c r="K39" s="420"/>
      <c r="L39" s="420"/>
      <c r="M39" s="420"/>
      <c r="N39" s="420"/>
      <c r="O39" s="420"/>
      <c r="P39" s="424">
        <v>0</v>
      </c>
      <c r="Q39" s="421"/>
    </row>
    <row r="40" spans="1:17">
      <c r="A40" s="414">
        <f t="shared" si="0"/>
        <v>190</v>
      </c>
      <c r="B40" s="422"/>
      <c r="D40" s="420"/>
      <c r="E40" s="420"/>
      <c r="F40" s="420"/>
      <c r="G40" s="420"/>
      <c r="H40" s="420"/>
      <c r="I40" s="420"/>
      <c r="J40" s="420"/>
      <c r="K40" s="420"/>
      <c r="L40" s="420"/>
      <c r="M40" s="420"/>
      <c r="N40" s="420"/>
      <c r="O40" s="420"/>
      <c r="P40" s="420"/>
      <c r="Q40" s="421"/>
    </row>
    <row r="41" spans="1:17">
      <c r="A41" s="414">
        <f t="shared" si="0"/>
        <v>191</v>
      </c>
      <c r="B41" s="422" t="str">
        <f>"Average Cost of Preferred Stock (Line "&amp;A39&amp;", col (m) / Line "&amp;A17&amp;", col (n))"</f>
        <v>Average Cost of Preferred Stock (Line 189, col (m) / Line 167, col (n))</v>
      </c>
      <c r="D41" s="420"/>
      <c r="E41" s="420"/>
      <c r="F41" s="420"/>
      <c r="G41" s="420"/>
      <c r="H41" s="420"/>
      <c r="I41" s="420"/>
      <c r="J41" s="420"/>
      <c r="K41" s="420"/>
      <c r="L41" s="420"/>
      <c r="M41" s="420"/>
      <c r="N41" s="420"/>
      <c r="O41" s="420"/>
      <c r="P41" s="420">
        <f>IF(P39=0,0,ROUND(P39/Q17,4))</f>
        <v>0</v>
      </c>
      <c r="Q41" s="421"/>
    </row>
    <row r="42" spans="1:17">
      <c r="A42" s="414"/>
      <c r="B42" s="422"/>
      <c r="D42" s="420"/>
      <c r="E42" s="420"/>
      <c r="F42" s="420"/>
      <c r="G42" s="420"/>
      <c r="H42" s="420"/>
      <c r="I42" s="420"/>
      <c r="J42" s="420"/>
      <c r="K42" s="420"/>
      <c r="L42" s="420"/>
      <c r="M42" s="420"/>
      <c r="N42" s="420"/>
      <c r="O42" s="420"/>
      <c r="P42" s="420"/>
      <c r="Q42" s="421"/>
    </row>
    <row r="43" spans="1:17">
      <c r="A43" s="414"/>
      <c r="B43" s="866" t="s">
        <v>518</v>
      </c>
      <c r="C43" s="866"/>
      <c r="D43" s="866"/>
      <c r="E43" s="866"/>
      <c r="F43" s="866"/>
      <c r="G43" s="866"/>
      <c r="H43" s="420"/>
      <c r="I43" s="420"/>
      <c r="J43" s="420"/>
      <c r="K43" s="420"/>
      <c r="L43" s="420"/>
      <c r="M43" s="420"/>
      <c r="N43" s="420"/>
      <c r="O43" s="420"/>
      <c r="P43" s="420"/>
      <c r="Q43" s="421"/>
    </row>
    <row r="44" spans="1:17">
      <c r="A44" s="414"/>
      <c r="B44" s="23" t="s">
        <v>519</v>
      </c>
      <c r="D44" s="420"/>
      <c r="E44" s="420"/>
      <c r="F44" s="420"/>
      <c r="G44" s="420"/>
      <c r="H44" s="420"/>
      <c r="I44" s="420"/>
      <c r="J44" s="420"/>
      <c r="K44" s="420"/>
      <c r="L44" s="420"/>
      <c r="M44" s="420"/>
      <c r="N44" s="420"/>
      <c r="O44" s="420"/>
      <c r="P44" s="420"/>
      <c r="Q44" s="421"/>
    </row>
    <row r="45" spans="1:17" ht="16.5" thickBot="1">
      <c r="A45" s="441"/>
      <c r="B45" s="280"/>
      <c r="C45" s="280"/>
      <c r="D45" s="442"/>
      <c r="E45" s="442"/>
      <c r="F45" s="442"/>
      <c r="G45" s="442"/>
      <c r="H45" s="442"/>
      <c r="I45" s="442"/>
      <c r="J45" s="442"/>
      <c r="K45" s="442"/>
      <c r="L45" s="442"/>
      <c r="M45" s="442"/>
      <c r="N45" s="442"/>
      <c r="O45" s="442"/>
      <c r="P45" s="442"/>
      <c r="Q45" s="443"/>
    </row>
    <row r="46" spans="1:17">
      <c r="D46" s="31"/>
      <c r="E46" s="31"/>
      <c r="F46" s="31"/>
      <c r="G46" s="31"/>
      <c r="H46" s="31"/>
      <c r="I46" s="31"/>
      <c r="J46" s="31"/>
      <c r="K46" s="31"/>
      <c r="L46" s="31"/>
      <c r="M46" s="31"/>
      <c r="N46" s="31"/>
      <c r="O46" s="31"/>
      <c r="P46" s="31"/>
      <c r="Q46" s="31"/>
    </row>
  </sheetData>
  <mergeCells count="3">
    <mergeCell ref="A4:F4"/>
    <mergeCell ref="H4:M4"/>
    <mergeCell ref="B43:G43"/>
  </mergeCells>
  <pageMargins left="0.7" right="0.7" top="0.75" bottom="0.75" header="0.3" footer="0.3"/>
  <pageSetup scale="4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DF16-E889-46DA-B107-C3FB0541EFB8}">
  <dimension ref="A1:L57"/>
  <sheetViews>
    <sheetView view="pageBreakPreview" zoomScaleNormal="100" zoomScaleSheetLayoutView="100" workbookViewId="0">
      <selection activeCell="E187" sqref="E187"/>
    </sheetView>
  </sheetViews>
  <sheetFormatPr defaultRowHeight="15"/>
  <cols>
    <col min="2" max="2" width="23.5546875" customWidth="1"/>
    <col min="3" max="3" width="43.88671875" customWidth="1"/>
    <col min="4" max="4" width="12.21875" bestFit="1" customWidth="1"/>
    <col min="9" max="9" width="10.88671875" bestFit="1" customWidth="1"/>
    <col min="10" max="10" width="18.44140625" customWidth="1"/>
  </cols>
  <sheetData>
    <row r="1" spans="1:10" ht="15.75" customHeight="1">
      <c r="A1" s="917" t="s">
        <v>520</v>
      </c>
      <c r="B1" s="917"/>
      <c r="C1" s="917"/>
      <c r="D1" s="917"/>
      <c r="E1" s="917"/>
      <c r="F1" s="917"/>
      <c r="G1" s="917"/>
      <c r="H1" s="917"/>
      <c r="I1" s="917"/>
      <c r="J1" s="917"/>
    </row>
    <row r="2" spans="1:10" ht="15.75">
      <c r="A2" s="918"/>
      <c r="B2" s="918"/>
      <c r="C2" s="918"/>
      <c r="D2" s="918"/>
      <c r="E2" s="918"/>
      <c r="F2" s="918"/>
      <c r="G2" s="918"/>
      <c r="H2" s="918"/>
      <c r="I2" s="918"/>
      <c r="J2" s="918"/>
    </row>
    <row r="3" spans="1:10" ht="15.75">
      <c r="A3" s="919" t="s">
        <v>521</v>
      </c>
      <c r="B3" s="856"/>
      <c r="C3" s="856"/>
      <c r="D3" s="856"/>
      <c r="E3" s="856"/>
      <c r="F3" s="856"/>
      <c r="G3" s="856"/>
      <c r="H3" s="856"/>
      <c r="I3" s="856"/>
      <c r="J3" s="856"/>
    </row>
    <row r="4" spans="1:10" ht="15.75">
      <c r="A4" s="35"/>
      <c r="B4" s="444"/>
      <c r="C4" s="444"/>
      <c r="D4" s="444"/>
      <c r="E4" s="444"/>
      <c r="F4" s="444"/>
      <c r="G4" s="444"/>
      <c r="H4" s="444"/>
      <c r="I4" s="444"/>
      <c r="J4" s="444"/>
    </row>
    <row r="5" spans="1:10" ht="15.75">
      <c r="A5" s="35"/>
      <c r="B5" s="444"/>
      <c r="C5" s="444"/>
      <c r="D5" s="444"/>
      <c r="E5" s="444"/>
      <c r="F5" s="445"/>
      <c r="G5" s="444"/>
      <c r="H5" s="444"/>
      <c r="I5" s="444"/>
      <c r="J5" s="444"/>
    </row>
    <row r="6" spans="1:10" ht="15.75">
      <c r="A6" s="446" t="s">
        <v>522</v>
      </c>
      <c r="B6" s="444"/>
      <c r="C6" s="444"/>
    </row>
    <row r="7" spans="1:10" ht="15.75">
      <c r="A7" s="35"/>
      <c r="B7" s="447" t="s">
        <v>185</v>
      </c>
      <c r="C7" s="447" t="s">
        <v>187</v>
      </c>
      <c r="D7" s="448" t="s">
        <v>189</v>
      </c>
      <c r="E7" s="447" t="s">
        <v>192</v>
      </c>
      <c r="F7" s="447" t="s">
        <v>195</v>
      </c>
      <c r="G7" s="447" t="s">
        <v>197</v>
      </c>
      <c r="H7" s="447" t="s">
        <v>206</v>
      </c>
      <c r="I7" s="22" t="s">
        <v>208</v>
      </c>
      <c r="J7" s="449" t="s">
        <v>210</v>
      </c>
    </row>
    <row r="8" spans="1:10" ht="15.75">
      <c r="A8" s="35">
        <v>1</v>
      </c>
      <c r="B8" s="23" t="s">
        <v>523</v>
      </c>
      <c r="C8" s="23" t="s">
        <v>524</v>
      </c>
      <c r="D8" s="23"/>
      <c r="E8" s="23"/>
      <c r="F8" s="23"/>
      <c r="G8" s="23"/>
      <c r="H8" s="23"/>
      <c r="I8" s="23"/>
      <c r="J8" s="35">
        <f>+'Appendix III'!J97</f>
        <v>105170020.87808177</v>
      </c>
    </row>
    <row r="9" spans="1:10" ht="15.75">
      <c r="A9" s="35"/>
      <c r="B9" s="23"/>
      <c r="C9" s="23"/>
      <c r="D9" s="23"/>
      <c r="E9" s="23"/>
      <c r="F9" s="23"/>
      <c r="G9" s="23"/>
      <c r="H9" s="23"/>
      <c r="I9" s="23"/>
      <c r="J9" s="35"/>
    </row>
    <row r="10" spans="1:10" ht="16.5" thickBot="1">
      <c r="A10" s="79">
        <f>+A8+1</f>
        <v>2</v>
      </c>
      <c r="B10" s="450" t="s">
        <v>525</v>
      </c>
      <c r="C10" s="451"/>
      <c r="D10" s="451"/>
      <c r="E10" s="451"/>
      <c r="F10" s="451"/>
      <c r="G10" s="451"/>
      <c r="H10" s="451"/>
      <c r="I10" s="452" t="s">
        <v>156</v>
      </c>
      <c r="J10" s="35"/>
    </row>
    <row r="11" spans="1:10" ht="15.75">
      <c r="A11" s="79"/>
      <c r="B11" s="453"/>
      <c r="C11" s="451"/>
      <c r="D11" s="451"/>
      <c r="E11" s="451"/>
      <c r="F11" s="451"/>
      <c r="G11" s="454" t="s">
        <v>165</v>
      </c>
      <c r="H11" s="451"/>
      <c r="I11" s="451"/>
      <c r="J11" s="35"/>
    </row>
    <row r="12" spans="1:10" ht="16.5" thickBot="1">
      <c r="A12" s="79"/>
      <c r="B12" s="23"/>
      <c r="C12" s="453"/>
      <c r="D12" s="455" t="s">
        <v>156</v>
      </c>
      <c r="E12" s="455" t="s">
        <v>164</v>
      </c>
      <c r="F12" s="451"/>
      <c r="G12" s="455" t="s">
        <v>0</v>
      </c>
      <c r="H12" s="451"/>
      <c r="I12" s="455" t="s">
        <v>166</v>
      </c>
      <c r="J12" s="35"/>
    </row>
    <row r="13" spans="1:10" ht="15.75">
      <c r="A13" s="79">
        <f>+A10+1</f>
        <v>3</v>
      </c>
      <c r="B13" s="450" t="s">
        <v>526</v>
      </c>
      <c r="C13" s="453" t="s">
        <v>527</v>
      </c>
      <c r="D13" s="456">
        <f>+'Appendix III'!E187</f>
        <v>43023891.504675552</v>
      </c>
      <c r="E13" s="111">
        <f>+'Appendix III'!F187</f>
        <v>0.4</v>
      </c>
      <c r="F13" s="457"/>
      <c r="G13" s="119">
        <f>+'Appendix III'!H187</f>
        <v>4.02E-2</v>
      </c>
      <c r="H13" s="458"/>
      <c r="I13" s="34">
        <f>E13*G13</f>
        <v>1.6080000000000001E-2</v>
      </c>
      <c r="J13" s="35"/>
    </row>
    <row r="14" spans="1:10" ht="15.75">
      <c r="A14" s="79">
        <f>+A13+1</f>
        <v>4</v>
      </c>
      <c r="B14" s="450" t="s">
        <v>528</v>
      </c>
      <c r="C14" s="453" t="s">
        <v>529</v>
      </c>
      <c r="D14" s="456">
        <f>+'Appendix III'!E188</f>
        <v>0</v>
      </c>
      <c r="E14" s="111">
        <f>+'Appendix III'!F188</f>
        <v>0</v>
      </c>
      <c r="F14" s="457"/>
      <c r="G14" s="119">
        <f>+'Appendix III'!H188</f>
        <v>0</v>
      </c>
      <c r="H14" s="458"/>
      <c r="I14" s="34">
        <f>E14*G14</f>
        <v>0</v>
      </c>
      <c r="J14" s="35"/>
    </row>
    <row r="15" spans="1:10" ht="16.5" thickBot="1">
      <c r="A15" s="79">
        <f>+A14+1</f>
        <v>5</v>
      </c>
      <c r="B15" s="450" t="s">
        <v>530</v>
      </c>
      <c r="C15" s="458"/>
      <c r="D15" s="459">
        <f>+'Appendix III'!E189</f>
        <v>64535837.257013321</v>
      </c>
      <c r="E15" s="111">
        <f>+'Appendix III'!F189</f>
        <v>0.6</v>
      </c>
      <c r="F15" s="457"/>
      <c r="G15" s="119">
        <f>+'Appendix III'!H189+0.01</f>
        <v>0.11199999999999999</v>
      </c>
      <c r="H15" s="458"/>
      <c r="I15" s="460">
        <f>E15*G15</f>
        <v>6.7199999999999996E-2</v>
      </c>
      <c r="J15" s="35"/>
    </row>
    <row r="16" spans="1:10" ht="15.75">
      <c r="A16" s="79">
        <f>+A15+1</f>
        <v>6</v>
      </c>
      <c r="B16" s="453" t="s">
        <v>531</v>
      </c>
      <c r="C16" s="458"/>
      <c r="D16" s="456">
        <f>SUM(D13:D15)</f>
        <v>107559728.76168887</v>
      </c>
      <c r="E16" s="451" t="s">
        <v>3</v>
      </c>
      <c r="F16" s="451"/>
      <c r="G16" s="451"/>
      <c r="H16" s="451"/>
      <c r="I16" s="34">
        <f>SUM(I13:I15)</f>
        <v>8.3279999999999993E-2</v>
      </c>
      <c r="J16" s="35"/>
    </row>
    <row r="17" spans="1:12" ht="15.75">
      <c r="A17" s="79">
        <f t="shared" ref="A17:A39" si="0">+A16+1</f>
        <v>7</v>
      </c>
      <c r="B17" s="453" t="s">
        <v>532</v>
      </c>
      <c r="C17" s="458"/>
      <c r="D17" s="456"/>
      <c r="E17" s="451"/>
      <c r="F17" s="451"/>
      <c r="G17" s="451"/>
      <c r="H17" s="451"/>
      <c r="I17" s="457"/>
      <c r="J17" s="35">
        <f>+I16*J8</f>
        <v>8758559.3387266491</v>
      </c>
    </row>
    <row r="18" spans="1:12" ht="15.75">
      <c r="A18" s="79"/>
      <c r="B18" s="23"/>
      <c r="C18" s="23"/>
      <c r="D18" s="23"/>
      <c r="E18" s="23"/>
      <c r="F18" s="23"/>
      <c r="G18" s="23"/>
      <c r="H18" s="23"/>
      <c r="I18" s="23"/>
      <c r="J18" s="35"/>
    </row>
    <row r="19" spans="1:12" ht="15.75">
      <c r="A19" s="79">
        <f>+A17+1</f>
        <v>8</v>
      </c>
      <c r="B19" s="453" t="s">
        <v>135</v>
      </c>
      <c r="C19" s="451"/>
      <c r="D19" s="451"/>
      <c r="E19" s="451"/>
      <c r="F19" s="458"/>
      <c r="G19" s="461"/>
      <c r="H19" s="451"/>
      <c r="I19" s="458"/>
      <c r="J19" s="35"/>
    </row>
    <row r="20" spans="1:12" ht="15.75">
      <c r="A20" s="79">
        <f t="shared" si="0"/>
        <v>9</v>
      </c>
      <c r="B20" s="91" t="s">
        <v>136</v>
      </c>
      <c r="C20" s="8"/>
      <c r="D20" s="90">
        <f>+'Appendix III'!E137</f>
        <v>0.27983599999999997</v>
      </c>
      <c r="E20" s="451"/>
      <c r="F20" s="458"/>
      <c r="G20" s="461"/>
      <c r="H20" s="451"/>
      <c r="I20" s="458"/>
      <c r="J20" s="35"/>
    </row>
    <row r="21" spans="1:12" ht="15.75">
      <c r="A21" s="79">
        <f t="shared" si="0"/>
        <v>10</v>
      </c>
      <c r="B21" s="5" t="s">
        <v>137</v>
      </c>
      <c r="C21" s="8"/>
      <c r="D21" s="90">
        <f>IF(I16&gt;0,(D20/(1-D20))*(1-I13/I16),0)</f>
        <v>0.31354561617865229</v>
      </c>
      <c r="E21" s="451"/>
      <c r="F21" s="458"/>
      <c r="G21" s="461"/>
      <c r="H21" s="451"/>
      <c r="I21" s="458"/>
      <c r="J21" s="35"/>
    </row>
    <row r="22" spans="1:12" ht="15.75">
      <c r="A22" s="79">
        <f t="shared" si="0"/>
        <v>11</v>
      </c>
      <c r="B22" s="5" t="str">
        <f>"       where WCLTD=(line "&amp;A13&amp;") and R= (line "&amp;A16&amp;")"</f>
        <v xml:space="preserve">       where WCLTD=(line 3) and R= (line 6)</v>
      </c>
      <c r="C22" s="8"/>
      <c r="D22" s="8"/>
      <c r="E22" s="451"/>
      <c r="F22" s="458"/>
      <c r="G22" s="461"/>
      <c r="H22" s="451"/>
      <c r="I22" s="458"/>
      <c r="J22" s="35"/>
    </row>
    <row r="23" spans="1:12" ht="15.75">
      <c r="A23" s="79">
        <f t="shared" si="0"/>
        <v>12</v>
      </c>
      <c r="B23" s="5" t="str">
        <f>"       and FIT, SIT &amp; p are as given in footnote "&amp;'Appendix III'!A228&amp;" on Appendix III."</f>
        <v xml:space="preserve">       and FIT, SIT &amp; p are as given in footnote F on Appendix III.</v>
      </c>
      <c r="C23" s="8"/>
      <c r="D23" s="8"/>
      <c r="E23" s="451"/>
      <c r="F23" s="458"/>
      <c r="G23" s="461"/>
      <c r="H23" s="451"/>
      <c r="I23" s="458"/>
      <c r="J23" s="35"/>
    </row>
    <row r="24" spans="1:12" ht="15.75">
      <c r="A24" s="79">
        <f t="shared" si="0"/>
        <v>13</v>
      </c>
      <c r="B24" s="91" t="str">
        <f>"      1 / (1 - T)  = (T from line "&amp;A20&amp;")"</f>
        <v xml:space="preserve">      1 / (1 - T)  = (T from line 9)</v>
      </c>
      <c r="C24" s="8"/>
      <c r="D24" s="90">
        <f>IF(D20&gt;0,1/(1-D20),0)</f>
        <v>1.3885726029071155</v>
      </c>
      <c r="E24" s="451"/>
      <c r="F24" s="458"/>
      <c r="G24" s="461"/>
      <c r="H24" s="451"/>
      <c r="I24" s="458"/>
      <c r="J24" s="35"/>
    </row>
    <row r="25" spans="1:12" ht="15.75">
      <c r="A25" s="79">
        <f t="shared" si="0"/>
        <v>14</v>
      </c>
      <c r="B25" s="5" t="s">
        <v>533</v>
      </c>
      <c r="C25" s="8"/>
      <c r="D25" s="53">
        <f>+'Appendix III'!E142</f>
        <v>0</v>
      </c>
      <c r="E25" s="451"/>
      <c r="F25" s="458"/>
      <c r="G25" s="461"/>
      <c r="H25" s="451"/>
      <c r="I25" s="458"/>
      <c r="J25" s="35"/>
    </row>
    <row r="26" spans="1:12" ht="15.75">
      <c r="A26" s="79">
        <f t="shared" si="0"/>
        <v>15</v>
      </c>
      <c r="B26" s="5"/>
      <c r="C26" s="8"/>
      <c r="D26" s="35"/>
      <c r="E26" s="451"/>
      <c r="F26" s="458"/>
      <c r="G26" s="94"/>
      <c r="H26" s="451"/>
      <c r="I26" s="458"/>
      <c r="J26" s="35"/>
    </row>
    <row r="27" spans="1:12" ht="15.75">
      <c r="A27" s="79">
        <f t="shared" si="0"/>
        <v>16</v>
      </c>
      <c r="B27" s="91" t="str">
        <f>"Income Tax Calculation = line "&amp;A21&amp;" * line "&amp;A17&amp;""</f>
        <v>Income Tax Calculation = line 10 * line 7</v>
      </c>
      <c r="C27" s="93"/>
      <c r="D27" s="53">
        <f>+J17*D21</f>
        <v>2746207.8846983365</v>
      </c>
      <c r="E27" s="451"/>
      <c r="F27" s="462"/>
      <c r="G27" s="463"/>
      <c r="H27" s="462"/>
      <c r="I27" s="35">
        <f>+J17*D21</f>
        <v>2746207.8846983365</v>
      </c>
      <c r="J27" s="35"/>
    </row>
    <row r="28" spans="1:12" ht="15.75">
      <c r="A28" s="79">
        <f t="shared" si="0"/>
        <v>17</v>
      </c>
      <c r="B28" s="66" t="str">
        <f>"ITC adjustment (line "&amp;A24&amp;" * line "&amp;A25&amp;") and line 17 allocated on NP allocator"</f>
        <v>ITC adjustment (line 13 * line 14) and line 17 allocated on NP allocator</v>
      </c>
      <c r="C28" s="96"/>
      <c r="D28" s="70">
        <f>+D24*D25</f>
        <v>0</v>
      </c>
      <c r="E28" s="462"/>
      <c r="F28" s="464" t="s">
        <v>83</v>
      </c>
      <c r="G28" s="111">
        <f>+'Appendix III'!H78</f>
        <v>1</v>
      </c>
      <c r="H28" s="462"/>
      <c r="I28" s="94">
        <f>G28*D28</f>
        <v>0</v>
      </c>
      <c r="J28" s="35"/>
    </row>
    <row r="29" spans="1:12" ht="15.75">
      <c r="A29" s="79">
        <f t="shared" si="0"/>
        <v>18</v>
      </c>
      <c r="B29" s="98" t="s">
        <v>144</v>
      </c>
      <c r="C29" s="5" t="str">
        <f>"(line "&amp;A27&amp;" plus line "&amp;A28&amp;")"</f>
        <v>(line 16 plus line 17)</v>
      </c>
      <c r="D29" s="99">
        <f>+D28+D27</f>
        <v>2746207.8846983365</v>
      </c>
      <c r="E29" s="462"/>
      <c r="F29" s="23"/>
      <c r="G29" s="23"/>
      <c r="H29" s="23"/>
      <c r="I29" s="23"/>
      <c r="J29" s="35">
        <f>+I28+I27</f>
        <v>2746207.8846983365</v>
      </c>
    </row>
    <row r="30" spans="1:12" ht="6.75" customHeight="1">
      <c r="A30" s="79"/>
      <c r="B30" s="458"/>
      <c r="C30" s="465"/>
      <c r="D30" s="101"/>
      <c r="E30" s="462"/>
      <c r="F30" s="464"/>
      <c r="G30" s="111"/>
      <c r="H30" s="462"/>
      <c r="I30" s="101"/>
      <c r="J30" s="35"/>
    </row>
    <row r="31" spans="1:12" ht="0.75" hidden="1" customHeight="1">
      <c r="A31" s="79"/>
      <c r="B31" s="23"/>
      <c r="C31" s="23"/>
      <c r="D31" s="23"/>
      <c r="E31" s="23"/>
      <c r="F31" s="23"/>
      <c r="G31" s="23"/>
      <c r="H31" s="23"/>
      <c r="I31" s="23"/>
      <c r="J31" s="35"/>
      <c r="K31" s="466"/>
      <c r="L31" s="466"/>
    </row>
    <row r="32" spans="1:12" ht="15.75">
      <c r="A32" s="79">
        <f>+A29+1</f>
        <v>19</v>
      </c>
      <c r="B32" s="458" t="s">
        <v>534</v>
      </c>
      <c r="C32" s="23"/>
      <c r="D32" s="23"/>
      <c r="E32" s="23" t="s">
        <v>535</v>
      </c>
      <c r="F32" s="23"/>
      <c r="G32" s="23"/>
      <c r="H32" s="23"/>
      <c r="I32" s="23"/>
      <c r="J32" s="35">
        <f>+J29+J17</f>
        <v>11504767.223424986</v>
      </c>
      <c r="K32" s="466"/>
      <c r="L32" s="466"/>
    </row>
    <row r="33" spans="1:12" ht="4.5" customHeight="1">
      <c r="A33" s="467"/>
      <c r="B33" s="23"/>
      <c r="C33" s="23"/>
      <c r="D33" s="23"/>
      <c r="E33" s="23"/>
      <c r="F33" s="23"/>
      <c r="G33" s="23"/>
      <c r="H33" s="23"/>
      <c r="I33" s="23"/>
      <c r="J33" s="35"/>
      <c r="K33" s="466"/>
      <c r="L33" s="466"/>
    </row>
    <row r="34" spans="1:12" ht="15.75">
      <c r="A34" s="467">
        <f>+A32+1</f>
        <v>20</v>
      </c>
      <c r="B34" s="23" t="str">
        <f>"Return    (Appendix III line "&amp;'Appendix III'!A151&amp;" col 5)"</f>
        <v>Return    (Appendix III line 64 col 5)</v>
      </c>
      <c r="C34" s="23"/>
      <c r="D34" s="23"/>
      <c r="E34" s="23"/>
      <c r="F34" s="23"/>
      <c r="G34" s="23"/>
      <c r="H34" s="23"/>
      <c r="I34" s="23"/>
      <c r="J34" s="35">
        <f>+'Appendix III'!J151</f>
        <v>8127539.2134581581</v>
      </c>
      <c r="K34" s="466"/>
      <c r="L34" s="466"/>
    </row>
    <row r="35" spans="1:12" ht="15.75">
      <c r="A35" s="467">
        <f t="shared" si="0"/>
        <v>21</v>
      </c>
      <c r="B35" s="23" t="str">
        <f>"Income Tax    (Appendix III line "&amp;'Appendix III'!A148&amp;" col 5)"</f>
        <v>Income Tax    (Appendix III line 62 col 5)</v>
      </c>
      <c r="C35" s="23"/>
      <c r="D35" s="23"/>
      <c r="E35" s="23"/>
      <c r="F35" s="23"/>
      <c r="G35" s="23"/>
      <c r="H35" s="23"/>
      <c r="I35" s="23"/>
      <c r="J35" s="35">
        <f>+'Appendix III'!J148</f>
        <v>2608734.1519810203</v>
      </c>
      <c r="K35" s="466"/>
      <c r="L35" s="466"/>
    </row>
    <row r="36" spans="1:12" ht="15.75">
      <c r="A36" s="467">
        <f t="shared" si="0"/>
        <v>22</v>
      </c>
      <c r="B36" s="458" t="s">
        <v>536</v>
      </c>
      <c r="C36" s="23"/>
      <c r="D36" s="23"/>
      <c r="E36" s="23" t="s">
        <v>537</v>
      </c>
      <c r="F36" s="23"/>
      <c r="G36" s="23"/>
      <c r="H36" s="23"/>
      <c r="I36" s="23"/>
      <c r="J36" s="70">
        <f>+J34+J35</f>
        <v>10736273.365439178</v>
      </c>
      <c r="K36" s="466"/>
      <c r="L36" s="466"/>
    </row>
    <row r="37" spans="1:12" ht="15.75">
      <c r="A37" s="467">
        <f t="shared" si="0"/>
        <v>23</v>
      </c>
      <c r="B37" s="458" t="s">
        <v>538</v>
      </c>
      <c r="C37" s="23"/>
      <c r="D37" s="23"/>
      <c r="E37" s="23" t="s">
        <v>539</v>
      </c>
      <c r="F37" s="23"/>
      <c r="G37" s="23"/>
      <c r="H37" s="23"/>
      <c r="I37" s="23"/>
      <c r="J37" s="35">
        <f>+J32-J36</f>
        <v>768493.85798580758</v>
      </c>
      <c r="K37" s="466"/>
      <c r="L37" s="466"/>
    </row>
    <row r="38" spans="1:12" ht="15.75">
      <c r="A38" s="467">
        <f t="shared" si="0"/>
        <v>24</v>
      </c>
      <c r="B38" s="23" t="s">
        <v>540</v>
      </c>
      <c r="C38" s="23"/>
      <c r="D38" s="23"/>
      <c r="E38" s="23" t="str">
        <f>"Appendix III, line "&amp;'Appendix III'!A$199&amp;"(a)"</f>
        <v>Appendix III, line 88(a)</v>
      </c>
      <c r="F38" s="23"/>
      <c r="G38" s="23"/>
      <c r="H38" s="23"/>
      <c r="I38" s="23"/>
      <c r="J38" s="35">
        <f>+'Appendix III'!H199</f>
        <v>108927345.82634127</v>
      </c>
      <c r="K38" s="466"/>
      <c r="L38" s="466"/>
    </row>
    <row r="39" spans="1:12" ht="15.75">
      <c r="A39" s="467">
        <f t="shared" si="0"/>
        <v>25</v>
      </c>
      <c r="B39" s="23" t="s">
        <v>541</v>
      </c>
      <c r="C39" s="23"/>
      <c r="D39" s="23"/>
      <c r="E39" s="23" t="s">
        <v>542</v>
      </c>
      <c r="F39" s="23"/>
      <c r="G39" s="23"/>
      <c r="H39" s="23"/>
      <c r="I39" s="23"/>
      <c r="J39" s="34">
        <f>IF(J38=0,0,J37/J38)</f>
        <v>7.0551049615308553E-3</v>
      </c>
      <c r="K39" s="466"/>
      <c r="L39" s="466"/>
    </row>
    <row r="40" spans="1:12" ht="15.75">
      <c r="A40" s="23"/>
      <c r="B40" s="23"/>
      <c r="C40" s="23"/>
      <c r="D40" s="23"/>
      <c r="E40" s="23"/>
      <c r="F40" s="23"/>
      <c r="G40" s="23"/>
      <c r="H40" s="23"/>
      <c r="I40" s="23"/>
      <c r="J40" s="35"/>
      <c r="K40" s="466"/>
      <c r="L40" s="466"/>
    </row>
    <row r="41" spans="1:12" ht="15.75">
      <c r="A41" s="468" t="s">
        <v>543</v>
      </c>
      <c r="B41" s="23"/>
      <c r="C41" s="23"/>
      <c r="D41" s="23"/>
      <c r="E41" s="23"/>
      <c r="F41" s="23"/>
      <c r="G41" s="23"/>
      <c r="H41" s="23"/>
      <c r="I41" s="23"/>
      <c r="J41" s="23"/>
      <c r="K41" s="466"/>
      <c r="L41" s="466"/>
    </row>
    <row r="42" spans="1:12" ht="15.75">
      <c r="A42" s="468" t="s">
        <v>544</v>
      </c>
      <c r="B42" s="23"/>
      <c r="C42" s="23"/>
      <c r="D42" s="23"/>
      <c r="E42" s="23"/>
      <c r="F42" s="23"/>
      <c r="G42" s="23"/>
      <c r="H42" s="23"/>
      <c r="I42" s="23"/>
      <c r="J42" s="23"/>
      <c r="K42" s="466"/>
      <c r="L42" s="466"/>
    </row>
    <row r="43" spans="1:12" ht="15.75">
      <c r="A43" s="468" t="s">
        <v>545</v>
      </c>
      <c r="B43" s="23"/>
      <c r="C43" s="23"/>
      <c r="D43" s="23"/>
      <c r="E43" s="23"/>
      <c r="F43" s="23"/>
      <c r="G43" s="23"/>
      <c r="H43" s="23"/>
      <c r="I43" s="23"/>
      <c r="J43" s="23"/>
      <c r="K43" s="466"/>
      <c r="L43" s="466"/>
    </row>
    <row r="44" spans="1:12" ht="15.75">
      <c r="A44" s="468" t="s">
        <v>546</v>
      </c>
      <c r="B44" s="23"/>
      <c r="C44" s="23"/>
      <c r="D44" s="23"/>
      <c r="E44" s="23"/>
      <c r="F44" s="23"/>
      <c r="G44" s="23"/>
      <c r="H44" s="23"/>
      <c r="I44" s="23"/>
      <c r="J44" s="23"/>
      <c r="K44" s="466"/>
      <c r="L44" s="466"/>
    </row>
    <row r="45" spans="1:12" ht="15.75">
      <c r="A45" s="468"/>
      <c r="B45" s="23"/>
      <c r="C45" s="23"/>
      <c r="D45" s="23"/>
      <c r="E45" s="23"/>
      <c r="F45" s="23"/>
      <c r="G45" s="23"/>
      <c r="H45" s="23"/>
      <c r="I45" s="23"/>
      <c r="J45" s="23"/>
      <c r="K45" s="466"/>
      <c r="L45" s="466"/>
    </row>
    <row r="46" spans="1:12" ht="15.75">
      <c r="A46" s="23"/>
      <c r="B46" s="23" t="s">
        <v>547</v>
      </c>
      <c r="C46" s="23"/>
      <c r="D46" s="23"/>
      <c r="E46" s="23"/>
      <c r="F46" s="23"/>
      <c r="G46" s="23"/>
      <c r="H46" s="23"/>
      <c r="I46" s="23"/>
      <c r="J46" s="23"/>
    </row>
    <row r="47" spans="1:12" ht="15.75">
      <c r="A47" s="23"/>
      <c r="B47" s="469" t="s">
        <v>548</v>
      </c>
      <c r="C47" s="469" t="s">
        <v>443</v>
      </c>
      <c r="D47" s="23"/>
      <c r="E47" s="23"/>
      <c r="F47" s="23"/>
      <c r="G47" s="23"/>
      <c r="H47" s="23"/>
      <c r="I47" s="23"/>
      <c r="J47" s="23"/>
    </row>
    <row r="48" spans="1:12" ht="15.75">
      <c r="A48" s="23"/>
      <c r="B48" s="470"/>
      <c r="C48" s="470"/>
      <c r="D48" s="23"/>
      <c r="E48" s="23"/>
      <c r="F48" s="23"/>
      <c r="G48" s="23"/>
      <c r="H48" s="23"/>
      <c r="I48" s="23"/>
      <c r="J48" s="23"/>
    </row>
    <row r="49" spans="1:10" ht="15.75">
      <c r="A49" s="23"/>
      <c r="B49" s="470"/>
      <c r="C49" s="470"/>
      <c r="D49" s="23"/>
      <c r="E49" s="23"/>
      <c r="F49" s="23"/>
      <c r="G49" s="23"/>
      <c r="H49" s="23"/>
      <c r="I49" s="23"/>
      <c r="J49" s="23"/>
    </row>
    <row r="50" spans="1:10" ht="15.75">
      <c r="A50" s="23"/>
      <c r="B50" s="470"/>
      <c r="C50" s="470"/>
      <c r="D50" s="23"/>
      <c r="E50" s="23"/>
      <c r="F50" s="23"/>
      <c r="G50" s="23"/>
      <c r="H50" s="23"/>
      <c r="I50" s="23"/>
      <c r="J50" s="23"/>
    </row>
    <row r="51" spans="1:10" ht="15.75">
      <c r="A51" s="23"/>
      <c r="B51" s="23"/>
      <c r="C51" s="23"/>
      <c r="D51" s="23"/>
      <c r="E51" s="23"/>
      <c r="F51" s="23"/>
      <c r="G51" s="23"/>
      <c r="H51" s="23"/>
      <c r="I51" s="23"/>
      <c r="J51" s="23"/>
    </row>
    <row r="52" spans="1:10" ht="15.75">
      <c r="A52" s="23"/>
      <c r="B52" s="23"/>
      <c r="C52" s="23"/>
      <c r="D52" s="23"/>
      <c r="E52" s="23"/>
      <c r="F52" s="23"/>
      <c r="G52" s="23"/>
      <c r="H52" s="23"/>
      <c r="I52" s="23"/>
      <c r="J52" s="23"/>
    </row>
    <row r="53" spans="1:10" ht="15.75">
      <c r="A53" s="23"/>
      <c r="B53" s="23"/>
      <c r="C53" s="23"/>
      <c r="D53" s="23"/>
      <c r="E53" s="23"/>
      <c r="F53" s="23"/>
      <c r="G53" s="23"/>
      <c r="H53" s="23"/>
      <c r="I53" s="23"/>
      <c r="J53" s="23"/>
    </row>
    <row r="54" spans="1:10" ht="15.75">
      <c r="A54" s="23"/>
      <c r="B54" s="23"/>
      <c r="C54" s="23"/>
      <c r="D54" s="23"/>
      <c r="E54" s="23"/>
      <c r="F54" s="23"/>
      <c r="G54" s="23"/>
      <c r="H54" s="23"/>
      <c r="I54" s="23"/>
      <c r="J54" s="23"/>
    </row>
    <row r="55" spans="1:10" ht="15.75">
      <c r="A55" s="23"/>
      <c r="B55" s="23"/>
      <c r="C55" s="23"/>
      <c r="D55" s="23"/>
      <c r="E55" s="23"/>
      <c r="F55" s="23"/>
      <c r="G55" s="23"/>
      <c r="H55" s="23"/>
      <c r="I55" s="23"/>
      <c r="J55" s="23"/>
    </row>
    <row r="56" spans="1:10" ht="15.75">
      <c r="A56" s="23"/>
      <c r="B56" s="23"/>
      <c r="C56" s="23"/>
      <c r="D56" s="23"/>
      <c r="E56" s="23"/>
      <c r="F56" s="23"/>
      <c r="G56" s="23"/>
      <c r="H56" s="23"/>
      <c r="I56" s="23"/>
      <c r="J56" s="23"/>
    </row>
    <row r="57" spans="1:10" ht="15.75">
      <c r="A57" s="23"/>
      <c r="B57" s="23"/>
      <c r="C57" s="23"/>
      <c r="D57" s="23"/>
      <c r="E57" s="23"/>
      <c r="F57" s="23"/>
      <c r="G57" s="23"/>
      <c r="H57" s="23"/>
      <c r="I57" s="23"/>
      <c r="J57" s="23"/>
    </row>
  </sheetData>
  <mergeCells count="3">
    <mergeCell ref="A1:J1"/>
    <mergeCell ref="A2:J2"/>
    <mergeCell ref="A3:J3"/>
  </mergeCells>
  <pageMargins left="0.7" right="0.7" top="0.75" bottom="0.75" header="0.3" footer="0.3"/>
  <pageSetup scale="65"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8C05C-AE99-4019-84D1-691C2B20AB83}">
  <sheetPr>
    <pageSetUpPr fitToPage="1"/>
  </sheetPr>
  <dimension ref="A2:Q240"/>
  <sheetViews>
    <sheetView view="pageBreakPreview" topLeftCell="A30" zoomScale="80" zoomScaleNormal="75" zoomScaleSheetLayoutView="80" workbookViewId="0">
      <selection activeCell="E187" sqref="E187"/>
    </sheetView>
  </sheetViews>
  <sheetFormatPr defaultColWidth="8.88671875" defaultRowHeight="15.75"/>
  <cols>
    <col min="1" max="1" width="8.88671875" style="472"/>
    <col min="2" max="2" width="33.44140625" style="468" customWidth="1"/>
    <col min="3" max="3" width="15.109375" style="473" customWidth="1"/>
    <col min="4" max="4" width="16.88671875" style="472" customWidth="1"/>
    <col min="5" max="5" width="20.5546875" style="472" customWidth="1"/>
    <col min="6" max="6" width="17.21875" style="473" customWidth="1"/>
    <col min="7" max="7" width="33.109375" style="473" customWidth="1"/>
    <col min="8" max="8" width="18.44140625" style="473" customWidth="1"/>
    <col min="9" max="9" width="16.88671875" style="473" customWidth="1"/>
    <col min="10" max="10" width="18.109375" style="473" customWidth="1"/>
    <col min="11" max="11" width="17.5546875" style="473" customWidth="1"/>
    <col min="12" max="12" width="16" style="473" customWidth="1"/>
    <col min="13" max="13" width="11.109375" style="471" bestFit="1" customWidth="1"/>
    <col min="14" max="14" width="13.88671875" style="471" customWidth="1"/>
    <col min="15" max="16" width="8.88671875" style="471"/>
    <col min="17" max="17" width="35.5546875" style="471" bestFit="1" customWidth="1"/>
    <col min="18" max="16384" width="8.88671875" style="471"/>
  </cols>
  <sheetData>
    <row r="2" spans="1:14">
      <c r="A2" s="921" t="s">
        <v>549</v>
      </c>
      <c r="B2" s="921"/>
      <c r="C2" s="921"/>
      <c r="D2" s="921"/>
      <c r="E2" s="921"/>
      <c r="F2" s="921"/>
      <c r="G2" s="921"/>
      <c r="H2" s="921"/>
      <c r="I2" s="921"/>
      <c r="J2" s="921"/>
      <c r="K2" s="921"/>
      <c r="L2" s="921"/>
    </row>
    <row r="3" spans="1:14">
      <c r="A3" s="922" t="s">
        <v>550</v>
      </c>
      <c r="B3" s="923"/>
      <c r="C3" s="923"/>
      <c r="D3" s="923"/>
      <c r="E3" s="923"/>
      <c r="F3" s="923"/>
      <c r="G3" s="923"/>
      <c r="H3" s="923"/>
      <c r="I3" s="923"/>
      <c r="J3" s="923"/>
      <c r="K3" s="923"/>
      <c r="L3" s="923"/>
      <c r="M3" s="923"/>
      <c r="N3" s="923"/>
    </row>
    <row r="5" spans="1:14">
      <c r="H5" s="474"/>
      <c r="I5" s="474"/>
      <c r="J5" s="474"/>
      <c r="K5" s="472"/>
    </row>
    <row r="6" spans="1:14">
      <c r="A6" s="472">
        <v>1</v>
      </c>
      <c r="B6" s="142" t="s">
        <v>551</v>
      </c>
      <c r="C6" s="146"/>
      <c r="D6" s="142"/>
      <c r="E6" s="142"/>
      <c r="G6" s="475" t="s">
        <v>552</v>
      </c>
      <c r="L6" s="31">
        <f>+'Appendix III'!J153</f>
        <v>24332861.559865199</v>
      </c>
      <c r="M6" s="473"/>
      <c r="N6" s="473"/>
    </row>
    <row r="7" spans="1:14">
      <c r="A7" s="472">
        <v>2</v>
      </c>
      <c r="B7" s="142" t="s">
        <v>553</v>
      </c>
      <c r="C7" s="146"/>
      <c r="D7" s="142"/>
      <c r="E7" s="142"/>
      <c r="G7" s="30" t="s">
        <v>554</v>
      </c>
      <c r="L7" s="31">
        <f>+'Appendix III'!J121+'Appendix III'!J123+'Appendix III'!J118</f>
        <v>11981555.722340999</v>
      </c>
      <c r="M7" s="476"/>
      <c r="N7" s="473"/>
    </row>
    <row r="8" spans="1:14">
      <c r="A8" s="472">
        <v>3</v>
      </c>
      <c r="B8" s="142" t="s">
        <v>555</v>
      </c>
      <c r="C8" s="146"/>
      <c r="D8" s="142"/>
      <c r="E8" s="142"/>
      <c r="G8" s="142" t="s">
        <v>556</v>
      </c>
      <c r="L8" s="31">
        <f>+L6-L7</f>
        <v>12351305.8375242</v>
      </c>
      <c r="M8" s="473"/>
      <c r="N8" s="473"/>
    </row>
    <row r="9" spans="1:14">
      <c r="A9" s="472">
        <v>4</v>
      </c>
      <c r="B9" s="23" t="s">
        <v>557</v>
      </c>
      <c r="C9" s="146"/>
      <c r="D9" s="142"/>
      <c r="E9" s="142"/>
      <c r="G9" s="142" t="str">
        <f>"(Appendix III, line "&amp;'Appendix III'!A199&amp;" (a))"</f>
        <v>(Appendix III, line 88 (a))</v>
      </c>
      <c r="L9" s="31">
        <f>+'Appendix III'!H199</f>
        <v>108927345.82634127</v>
      </c>
      <c r="M9" s="473"/>
      <c r="N9" s="473"/>
    </row>
    <row r="10" spans="1:14">
      <c r="A10" s="472">
        <v>5</v>
      </c>
      <c r="B10" s="148" t="s">
        <v>558</v>
      </c>
      <c r="C10" s="146"/>
      <c r="E10" s="142"/>
      <c r="G10" s="142" t="s">
        <v>559</v>
      </c>
      <c r="L10" s="477">
        <f>IF(L9=0,0,L8/L9)</f>
        <v>0.11339031300014799</v>
      </c>
      <c r="M10" s="473"/>
      <c r="N10" s="473"/>
    </row>
    <row r="11" spans="1:14">
      <c r="A11" s="472">
        <v>6</v>
      </c>
      <c r="B11" s="23" t="s">
        <v>541</v>
      </c>
      <c r="C11" s="146"/>
      <c r="D11" s="151"/>
      <c r="E11" s="142"/>
      <c r="G11" s="142" t="s">
        <v>560</v>
      </c>
      <c r="L11" s="478">
        <f>+'3 - Incentives'!J39</f>
        <v>7.0551049615308553E-3</v>
      </c>
      <c r="M11" s="473"/>
      <c r="N11" s="473"/>
    </row>
    <row r="12" spans="1:14">
      <c r="C12" s="479"/>
      <c r="M12" s="473"/>
      <c r="N12" s="473"/>
    </row>
    <row r="13" spans="1:14">
      <c r="C13" s="479"/>
      <c r="M13" s="473"/>
      <c r="N13" s="473"/>
    </row>
    <row r="14" spans="1:14">
      <c r="C14" s="479"/>
      <c r="M14" s="473"/>
      <c r="N14" s="473"/>
    </row>
    <row r="15" spans="1:14">
      <c r="M15" s="473"/>
      <c r="N15" s="473"/>
    </row>
    <row r="16" spans="1:14">
      <c r="B16" s="480" t="s">
        <v>561</v>
      </c>
      <c r="C16" s="480" t="s">
        <v>562</v>
      </c>
      <c r="D16" s="480" t="s">
        <v>563</v>
      </c>
      <c r="E16" s="480" t="s">
        <v>564</v>
      </c>
      <c r="F16" s="480" t="s">
        <v>565</v>
      </c>
      <c r="G16" s="480" t="s">
        <v>566</v>
      </c>
      <c r="H16" s="480" t="s">
        <v>567</v>
      </c>
      <c r="I16" s="480" t="s">
        <v>568</v>
      </c>
      <c r="J16" s="480" t="s">
        <v>569</v>
      </c>
      <c r="K16" s="480" t="s">
        <v>570</v>
      </c>
      <c r="L16" s="480" t="s">
        <v>571</v>
      </c>
      <c r="M16" s="481" t="s">
        <v>572</v>
      </c>
      <c r="N16" s="481" t="s">
        <v>573</v>
      </c>
    </row>
    <row r="17" spans="1:16">
      <c r="B17" s="468" t="s">
        <v>574</v>
      </c>
      <c r="G17" s="482"/>
      <c r="H17" s="483"/>
      <c r="I17" s="483"/>
      <c r="J17" s="483"/>
      <c r="K17" s="484"/>
      <c r="L17" s="484"/>
      <c r="M17" s="485"/>
      <c r="N17" s="485"/>
    </row>
    <row r="18" spans="1:16" ht="87" customHeight="1">
      <c r="A18" s="468"/>
      <c r="B18" s="474" t="s">
        <v>575</v>
      </c>
      <c r="C18" s="486" t="s">
        <v>576</v>
      </c>
      <c r="D18" s="487" t="s">
        <v>577</v>
      </c>
      <c r="E18" s="487" t="s">
        <v>578</v>
      </c>
      <c r="F18" s="487" t="s">
        <v>579</v>
      </c>
      <c r="G18" s="924" t="s">
        <v>580</v>
      </c>
      <c r="H18" s="925"/>
      <c r="I18" s="925"/>
      <c r="J18" s="926"/>
      <c r="K18" s="488" t="s">
        <v>581</v>
      </c>
      <c r="L18" s="488" t="s">
        <v>582</v>
      </c>
      <c r="M18" s="489" t="s">
        <v>583</v>
      </c>
      <c r="N18" s="490" t="s">
        <v>584</v>
      </c>
    </row>
    <row r="19" spans="1:16" ht="86.25" customHeight="1">
      <c r="A19" s="468"/>
      <c r="B19" s="491"/>
      <c r="C19" s="486"/>
      <c r="D19" s="486" t="s">
        <v>585</v>
      </c>
      <c r="E19" s="486" t="s">
        <v>586</v>
      </c>
      <c r="F19" s="486" t="s">
        <v>587</v>
      </c>
      <c r="G19" s="492" t="s">
        <v>588</v>
      </c>
      <c r="H19" s="493" t="s">
        <v>589</v>
      </c>
      <c r="I19" s="493" t="s">
        <v>590</v>
      </c>
      <c r="J19" s="494" t="s">
        <v>591</v>
      </c>
      <c r="K19" s="494" t="s">
        <v>591</v>
      </c>
      <c r="L19" s="494" t="s">
        <v>592</v>
      </c>
      <c r="M19" s="472" t="s">
        <v>593</v>
      </c>
      <c r="N19" s="495" t="s">
        <v>594</v>
      </c>
    </row>
    <row r="20" spans="1:16" ht="31.5">
      <c r="A20" s="468"/>
      <c r="C20" s="142"/>
      <c r="D20" s="142"/>
      <c r="E20" s="142"/>
      <c r="F20" s="142"/>
      <c r="G20" s="496"/>
      <c r="J20" s="497" t="s">
        <v>595</v>
      </c>
      <c r="K20" s="497" t="s">
        <v>596</v>
      </c>
      <c r="L20" s="498"/>
      <c r="M20" s="473"/>
      <c r="N20" s="499"/>
    </row>
    <row r="21" spans="1:16">
      <c r="A21" s="468"/>
      <c r="C21" s="142"/>
      <c r="D21" s="142"/>
      <c r="E21" s="142"/>
      <c r="F21" s="142"/>
      <c r="G21" s="496"/>
      <c r="J21" s="500"/>
      <c r="K21" s="500"/>
      <c r="L21" s="500"/>
      <c r="M21" s="473"/>
      <c r="N21" s="499"/>
    </row>
    <row r="22" spans="1:16">
      <c r="A22" s="472" t="s">
        <v>597</v>
      </c>
      <c r="B22" s="252">
        <v>0</v>
      </c>
      <c r="C22" s="501">
        <v>0</v>
      </c>
      <c r="D22" s="502">
        <v>0</v>
      </c>
      <c r="E22" s="503">
        <f>+L10</f>
        <v>0.11339031300014799</v>
      </c>
      <c r="F22" s="503">
        <f t="shared" ref="F22:F30" si="0">+L$11*D22/100+E22</f>
        <v>0.11339031300014799</v>
      </c>
      <c r="G22" s="504">
        <v>0</v>
      </c>
      <c r="H22" s="505">
        <v>0</v>
      </c>
      <c r="I22" s="505">
        <v>0</v>
      </c>
      <c r="J22" s="506">
        <f t="shared" ref="J22:J30" si="1">+E22*G22+H22+I22</f>
        <v>0</v>
      </c>
      <c r="K22" s="507">
        <f>+F22*G22+H22+I22</f>
        <v>0</v>
      </c>
      <c r="L22" s="507">
        <f t="shared" ref="L22:L30" si="2">+K22-J22</f>
        <v>0</v>
      </c>
      <c r="M22" s="175">
        <v>0</v>
      </c>
      <c r="N22" s="508">
        <f t="shared" ref="N22:N31" si="3">+K22-M22</f>
        <v>0</v>
      </c>
      <c r="P22" s="509"/>
    </row>
    <row r="23" spans="1:16">
      <c r="A23" s="472" t="s">
        <v>598</v>
      </c>
      <c r="B23" s="252">
        <v>0</v>
      </c>
      <c r="C23" s="510">
        <v>0</v>
      </c>
      <c r="D23" s="502">
        <v>0</v>
      </c>
      <c r="E23" s="511">
        <f>+E22</f>
        <v>0.11339031300014799</v>
      </c>
      <c r="F23" s="503">
        <f t="shared" si="0"/>
        <v>0.11339031300014799</v>
      </c>
      <c r="G23" s="504">
        <v>0</v>
      </c>
      <c r="H23" s="505">
        <v>0</v>
      </c>
      <c r="I23" s="505">
        <v>0</v>
      </c>
      <c r="J23" s="506">
        <f t="shared" si="1"/>
        <v>0</v>
      </c>
      <c r="K23" s="507">
        <f>+F23*G23+H23+I23</f>
        <v>0</v>
      </c>
      <c r="L23" s="507">
        <f t="shared" si="2"/>
        <v>0</v>
      </c>
      <c r="M23" s="175">
        <v>0</v>
      </c>
      <c r="N23" s="508">
        <f t="shared" si="3"/>
        <v>0</v>
      </c>
      <c r="P23" s="509"/>
    </row>
    <row r="24" spans="1:16">
      <c r="A24" s="472" t="s">
        <v>599</v>
      </c>
      <c r="B24" s="252">
        <v>0</v>
      </c>
      <c r="C24" s="510">
        <v>0</v>
      </c>
      <c r="D24" s="502">
        <v>0</v>
      </c>
      <c r="E24" s="503">
        <f>+L10</f>
        <v>0.11339031300014799</v>
      </c>
      <c r="F24" s="503">
        <f t="shared" si="0"/>
        <v>0.11339031300014799</v>
      </c>
      <c r="G24" s="504">
        <v>0</v>
      </c>
      <c r="H24" s="505">
        <v>0</v>
      </c>
      <c r="I24" s="505">
        <v>0</v>
      </c>
      <c r="J24" s="506">
        <f t="shared" si="1"/>
        <v>0</v>
      </c>
      <c r="K24" s="507">
        <f>+F24*G24+H24+I24</f>
        <v>0</v>
      </c>
      <c r="L24" s="507">
        <f t="shared" si="2"/>
        <v>0</v>
      </c>
      <c r="M24" s="175">
        <v>0</v>
      </c>
      <c r="N24" s="508">
        <f t="shared" si="3"/>
        <v>0</v>
      </c>
      <c r="P24" s="509"/>
    </row>
    <row r="25" spans="1:16">
      <c r="A25" s="472" t="s">
        <v>600</v>
      </c>
      <c r="B25" s="512"/>
      <c r="C25" s="510"/>
      <c r="D25" s="502"/>
      <c r="E25" s="513"/>
      <c r="F25" s="514">
        <f t="shared" si="0"/>
        <v>0</v>
      </c>
      <c r="G25" s="515">
        <v>0</v>
      </c>
      <c r="H25" s="510">
        <v>0</v>
      </c>
      <c r="I25" s="510">
        <v>0</v>
      </c>
      <c r="J25" s="506">
        <f t="shared" si="1"/>
        <v>0</v>
      </c>
      <c r="K25" s="507">
        <f t="shared" ref="K25:K30" si="4">+F25*G25+H25</f>
        <v>0</v>
      </c>
      <c r="L25" s="507">
        <f t="shared" si="2"/>
        <v>0</v>
      </c>
      <c r="M25" s="175">
        <v>0</v>
      </c>
      <c r="N25" s="508">
        <f t="shared" si="3"/>
        <v>0</v>
      </c>
    </row>
    <row r="26" spans="1:16">
      <c r="A26" s="472" t="s">
        <v>601</v>
      </c>
      <c r="B26" s="512"/>
      <c r="C26" s="510"/>
      <c r="D26" s="510"/>
      <c r="E26" s="513"/>
      <c r="F26" s="514">
        <f t="shared" si="0"/>
        <v>0</v>
      </c>
      <c r="G26" s="515">
        <v>0</v>
      </c>
      <c r="H26" s="510">
        <v>0</v>
      </c>
      <c r="I26" s="510">
        <v>0</v>
      </c>
      <c r="J26" s="506">
        <f t="shared" si="1"/>
        <v>0</v>
      </c>
      <c r="K26" s="507">
        <f t="shared" si="4"/>
        <v>0</v>
      </c>
      <c r="L26" s="507">
        <f t="shared" si="2"/>
        <v>0</v>
      </c>
      <c r="M26" s="175">
        <v>0</v>
      </c>
      <c r="N26" s="508">
        <f t="shared" si="3"/>
        <v>0</v>
      </c>
    </row>
    <row r="27" spans="1:16">
      <c r="A27" s="472" t="s">
        <v>602</v>
      </c>
      <c r="B27" s="512"/>
      <c r="C27" s="510"/>
      <c r="D27" s="510"/>
      <c r="E27" s="514"/>
      <c r="F27" s="514">
        <f t="shared" si="0"/>
        <v>0</v>
      </c>
      <c r="G27" s="516">
        <v>0</v>
      </c>
      <c r="H27" s="510">
        <v>0</v>
      </c>
      <c r="I27" s="510">
        <v>0</v>
      </c>
      <c r="J27" s="506">
        <f t="shared" si="1"/>
        <v>0</v>
      </c>
      <c r="K27" s="507">
        <f t="shared" si="4"/>
        <v>0</v>
      </c>
      <c r="L27" s="507">
        <f t="shared" si="2"/>
        <v>0</v>
      </c>
      <c r="M27" s="175">
        <v>0</v>
      </c>
      <c r="N27" s="508">
        <f t="shared" si="3"/>
        <v>0</v>
      </c>
    </row>
    <row r="28" spans="1:16">
      <c r="A28" s="472" t="s">
        <v>603</v>
      </c>
      <c r="B28" s="512"/>
      <c r="C28" s="510"/>
      <c r="D28" s="510"/>
      <c r="E28" s="514"/>
      <c r="F28" s="514">
        <f t="shared" si="0"/>
        <v>0</v>
      </c>
      <c r="G28" s="516">
        <v>0</v>
      </c>
      <c r="H28" s="510">
        <v>0</v>
      </c>
      <c r="I28" s="510">
        <v>0</v>
      </c>
      <c r="J28" s="506">
        <f t="shared" si="1"/>
        <v>0</v>
      </c>
      <c r="K28" s="507">
        <f t="shared" si="4"/>
        <v>0</v>
      </c>
      <c r="L28" s="507">
        <f t="shared" si="2"/>
        <v>0</v>
      </c>
      <c r="M28" s="175">
        <v>0</v>
      </c>
      <c r="N28" s="508">
        <f t="shared" si="3"/>
        <v>0</v>
      </c>
    </row>
    <row r="29" spans="1:16">
      <c r="A29" s="472" t="s">
        <v>604</v>
      </c>
      <c r="B29" s="512"/>
      <c r="C29" s="510"/>
      <c r="D29" s="510"/>
      <c r="E29" s="514"/>
      <c r="F29" s="514">
        <f t="shared" si="0"/>
        <v>0</v>
      </c>
      <c r="G29" s="516">
        <v>0</v>
      </c>
      <c r="H29" s="510">
        <v>0</v>
      </c>
      <c r="I29" s="510">
        <v>0</v>
      </c>
      <c r="J29" s="506">
        <f t="shared" si="1"/>
        <v>0</v>
      </c>
      <c r="K29" s="507">
        <f t="shared" si="4"/>
        <v>0</v>
      </c>
      <c r="L29" s="507">
        <f t="shared" si="2"/>
        <v>0</v>
      </c>
      <c r="M29" s="175">
        <v>0</v>
      </c>
      <c r="N29" s="508">
        <f t="shared" si="3"/>
        <v>0</v>
      </c>
    </row>
    <row r="30" spans="1:16">
      <c r="A30" s="472" t="s">
        <v>256</v>
      </c>
      <c r="B30" s="512"/>
      <c r="C30" s="510"/>
      <c r="D30" s="510"/>
      <c r="E30" s="514"/>
      <c r="F30" s="514">
        <f t="shared" si="0"/>
        <v>0</v>
      </c>
      <c r="G30" s="516">
        <v>0</v>
      </c>
      <c r="H30" s="510">
        <v>0</v>
      </c>
      <c r="I30" s="510">
        <v>0</v>
      </c>
      <c r="J30" s="506">
        <f t="shared" si="1"/>
        <v>0</v>
      </c>
      <c r="K30" s="507">
        <f t="shared" si="4"/>
        <v>0</v>
      </c>
      <c r="L30" s="507">
        <f t="shared" si="2"/>
        <v>0</v>
      </c>
      <c r="M30" s="175">
        <v>0</v>
      </c>
      <c r="N30" s="508">
        <f t="shared" si="3"/>
        <v>0</v>
      </c>
    </row>
    <row r="31" spans="1:16">
      <c r="A31" s="472">
        <v>8</v>
      </c>
      <c r="B31" s="481" t="s">
        <v>605</v>
      </c>
      <c r="G31" s="517">
        <f t="shared" ref="G31:L31" si="5">SUM(G22:G30)</f>
        <v>0</v>
      </c>
      <c r="H31" s="518">
        <f t="shared" si="5"/>
        <v>0</v>
      </c>
      <c r="I31" s="518">
        <f t="shared" si="5"/>
        <v>0</v>
      </c>
      <c r="J31" s="519">
        <f t="shared" si="5"/>
        <v>0</v>
      </c>
      <c r="K31" s="520">
        <f t="shared" si="5"/>
        <v>0</v>
      </c>
      <c r="L31" s="520">
        <f t="shared" si="5"/>
        <v>0</v>
      </c>
      <c r="M31" s="175">
        <v>0</v>
      </c>
      <c r="N31" s="508">
        <f t="shared" si="3"/>
        <v>0</v>
      </c>
      <c r="O31" s="521"/>
    </row>
    <row r="32" spans="1:16" ht="68.25" customHeight="1">
      <c r="A32" s="472">
        <v>9</v>
      </c>
      <c r="B32" s="468" t="s">
        <v>606</v>
      </c>
      <c r="G32" s="490" t="s">
        <v>607</v>
      </c>
      <c r="H32" s="490" t="s">
        <v>608</v>
      </c>
      <c r="I32" s="490" t="s">
        <v>609</v>
      </c>
      <c r="J32" s="490" t="s">
        <v>610</v>
      </c>
      <c r="K32" s="490" t="s">
        <v>611</v>
      </c>
      <c r="L32" s="490" t="s">
        <v>612</v>
      </c>
      <c r="M32" s="522"/>
      <c r="N32" s="490" t="s">
        <v>613</v>
      </c>
    </row>
    <row r="33" spans="1:17">
      <c r="A33" s="472">
        <v>10</v>
      </c>
      <c r="B33" s="468" t="s">
        <v>614</v>
      </c>
      <c r="H33" s="523">
        <v>0</v>
      </c>
      <c r="I33" s="523">
        <v>0</v>
      </c>
      <c r="J33" s="523">
        <v>0</v>
      </c>
      <c r="K33" s="523">
        <v>0</v>
      </c>
      <c r="L33" s="523">
        <v>0</v>
      </c>
      <c r="M33" s="523">
        <v>0</v>
      </c>
      <c r="N33" s="523">
        <v>0</v>
      </c>
      <c r="Q33" s="524"/>
    </row>
    <row r="34" spans="1:17">
      <c r="A34" s="472">
        <v>11</v>
      </c>
      <c r="B34" s="468" t="s">
        <v>615</v>
      </c>
      <c r="G34" s="30"/>
      <c r="H34" s="523">
        <v>0</v>
      </c>
      <c r="I34" s="523">
        <v>0</v>
      </c>
      <c r="J34" s="523">
        <v>0</v>
      </c>
      <c r="K34" s="523">
        <v>0</v>
      </c>
      <c r="L34" s="523">
        <v>0</v>
      </c>
      <c r="M34" s="523">
        <v>0</v>
      </c>
      <c r="N34" s="523">
        <v>0</v>
      </c>
    </row>
    <row r="35" spans="1:17">
      <c r="G35" s="30"/>
      <c r="H35" s="523"/>
      <c r="I35" s="523"/>
      <c r="J35" s="523"/>
      <c r="K35" s="523"/>
      <c r="L35" s="523"/>
      <c r="M35" s="523"/>
      <c r="N35" s="523"/>
    </row>
    <row r="36" spans="1:17">
      <c r="A36" s="468" t="s">
        <v>616</v>
      </c>
      <c r="G36" s="31"/>
      <c r="H36" s="476"/>
      <c r="I36" s="476"/>
      <c r="M36" s="473"/>
      <c r="N36" s="473"/>
      <c r="Q36" s="524"/>
    </row>
    <row r="37" spans="1:17">
      <c r="A37" s="468" t="s">
        <v>617</v>
      </c>
      <c r="M37" s="473"/>
      <c r="N37" s="473"/>
    </row>
    <row r="38" spans="1:17">
      <c r="A38" s="468" t="s">
        <v>618</v>
      </c>
      <c r="G38" s="476"/>
      <c r="H38" s="476"/>
      <c r="I38" s="476"/>
      <c r="M38" s="473"/>
      <c r="N38" s="473"/>
    </row>
    <row r="39" spans="1:17">
      <c r="B39" s="23" t="s">
        <v>547</v>
      </c>
      <c r="C39" s="23"/>
      <c r="J39" s="525"/>
      <c r="K39" s="525"/>
      <c r="M39" s="473"/>
      <c r="N39" s="473"/>
    </row>
    <row r="40" spans="1:17">
      <c r="B40" s="469" t="s">
        <v>548</v>
      </c>
      <c r="C40" s="927" t="s">
        <v>443</v>
      </c>
      <c r="D40" s="927"/>
      <c r="M40" s="473"/>
      <c r="N40" s="473"/>
    </row>
    <row r="41" spans="1:17">
      <c r="B41" s="470"/>
      <c r="C41" s="928"/>
      <c r="D41" s="928"/>
      <c r="M41" s="473"/>
      <c r="N41" s="473"/>
    </row>
    <row r="42" spans="1:17">
      <c r="B42" s="470"/>
      <c r="C42" s="928"/>
      <c r="D42" s="928"/>
      <c r="M42" s="473"/>
      <c r="N42" s="473"/>
    </row>
    <row r="43" spans="1:17">
      <c r="B43" s="470"/>
      <c r="C43" s="928"/>
      <c r="D43" s="928"/>
      <c r="M43" s="473"/>
      <c r="N43" s="473"/>
    </row>
    <row r="44" spans="1:17">
      <c r="A44" s="526" t="s">
        <v>619</v>
      </c>
      <c r="M44" s="473"/>
      <c r="N44" s="473"/>
    </row>
    <row r="45" spans="1:17">
      <c r="A45" s="526" t="s">
        <v>620</v>
      </c>
      <c r="M45" s="473"/>
      <c r="N45" s="473"/>
    </row>
    <row r="46" spans="1:17">
      <c r="A46" s="468" t="s">
        <v>621</v>
      </c>
      <c r="M46" s="473"/>
      <c r="N46" s="473"/>
    </row>
    <row r="47" spans="1:17">
      <c r="A47" s="468" t="s">
        <v>622</v>
      </c>
      <c r="M47" s="473"/>
      <c r="N47" s="473"/>
    </row>
    <row r="48" spans="1:17">
      <c r="A48" s="468"/>
      <c r="B48" s="489" t="s">
        <v>185</v>
      </c>
      <c r="C48" s="929" t="s">
        <v>187</v>
      </c>
      <c r="D48" s="930"/>
      <c r="E48" s="489" t="s">
        <v>189</v>
      </c>
      <c r="F48" s="489" t="s">
        <v>192</v>
      </c>
      <c r="G48" s="489" t="s">
        <v>195</v>
      </c>
      <c r="M48" s="473"/>
      <c r="N48" s="473"/>
    </row>
    <row r="49" spans="1:14" ht="94.5" customHeight="1">
      <c r="B49" s="469" t="s">
        <v>548</v>
      </c>
      <c r="C49" s="931" t="s">
        <v>623</v>
      </c>
      <c r="D49" s="931"/>
      <c r="E49" s="527" t="s">
        <v>624</v>
      </c>
      <c r="F49" s="528" t="s">
        <v>625</v>
      </c>
      <c r="G49" s="529" t="s">
        <v>626</v>
      </c>
      <c r="J49" s="31"/>
      <c r="K49" s="31"/>
      <c r="L49" s="31"/>
      <c r="M49" s="473"/>
      <c r="N49" s="473"/>
    </row>
    <row r="50" spans="1:14">
      <c r="A50" s="472">
        <v>10</v>
      </c>
      <c r="B50" s="530">
        <v>0</v>
      </c>
      <c r="C50" s="920">
        <v>0</v>
      </c>
      <c r="D50" s="920"/>
      <c r="E50" s="531">
        <f>IF(C50&gt;0,C50/C$54,0)</f>
        <v>0</v>
      </c>
      <c r="F50" s="532">
        <f>('Appendix III'!J$114-'Appendix III'!J$115+'Appendix III'!J$116+'Appendix III'!J$117)*E50</f>
        <v>0</v>
      </c>
      <c r="G50" s="531">
        <f>+C50+F50</f>
        <v>0</v>
      </c>
      <c r="H50" s="23"/>
      <c r="M50" s="473"/>
      <c r="N50" s="473"/>
    </row>
    <row r="51" spans="1:14">
      <c r="A51" s="472" t="s">
        <v>269</v>
      </c>
      <c r="B51" s="530">
        <v>0</v>
      </c>
      <c r="C51" s="920">
        <v>0</v>
      </c>
      <c r="D51" s="920"/>
      <c r="E51" s="531">
        <f>IF(C51&gt;0,C51/C$54,0)</f>
        <v>0</v>
      </c>
      <c r="F51" s="532">
        <f>('Appendix III'!J$114-'Appendix III'!J$115+'Appendix III'!J$116+'Appendix III'!J$117)*E51</f>
        <v>0</v>
      </c>
      <c r="G51" s="531">
        <f>+C51+F51</f>
        <v>0</v>
      </c>
      <c r="H51" s="23"/>
      <c r="M51" s="473"/>
      <c r="N51" s="473"/>
    </row>
    <row r="52" spans="1:14">
      <c r="A52" s="472" t="s">
        <v>271</v>
      </c>
      <c r="B52" s="530"/>
      <c r="C52" s="920"/>
      <c r="D52" s="920"/>
      <c r="E52" s="531">
        <f>IF(C52&gt;0,C52/C$54,0)</f>
        <v>0</v>
      </c>
      <c r="F52" s="532"/>
      <c r="G52" s="531"/>
      <c r="H52" s="23"/>
      <c r="K52" s="31"/>
      <c r="M52" s="473"/>
      <c r="N52" s="473"/>
    </row>
    <row r="53" spans="1:14">
      <c r="A53" s="472" t="s">
        <v>256</v>
      </c>
      <c r="B53" s="530"/>
      <c r="C53" s="920"/>
      <c r="D53" s="920"/>
      <c r="E53" s="531">
        <f>IF(C53&gt;0,C53/C$54,0)</f>
        <v>0</v>
      </c>
      <c r="F53" s="532"/>
      <c r="G53" s="531"/>
      <c r="K53" s="476"/>
    </row>
    <row r="54" spans="1:14">
      <c r="A54" s="472">
        <v>11</v>
      </c>
      <c r="B54" s="533" t="s">
        <v>627</v>
      </c>
      <c r="C54" s="933">
        <f>SUM(C50:D53)</f>
        <v>0</v>
      </c>
      <c r="D54" s="933"/>
      <c r="E54" s="77"/>
      <c r="F54" s="77"/>
      <c r="G54" s="77">
        <f>SUM(G50:G53)</f>
        <v>0</v>
      </c>
    </row>
    <row r="56" spans="1:14">
      <c r="A56" s="472" t="s">
        <v>628</v>
      </c>
      <c r="B56" s="468" t="s">
        <v>629</v>
      </c>
    </row>
    <row r="57" spans="1:14">
      <c r="B57" s="468" t="s">
        <v>630</v>
      </c>
      <c r="C57" s="932" t="s">
        <v>631</v>
      </c>
      <c r="D57" s="932"/>
      <c r="E57" s="932"/>
      <c r="F57" s="932"/>
      <c r="G57" s="932"/>
      <c r="H57" s="932"/>
      <c r="I57" s="932"/>
      <c r="J57" s="932"/>
      <c r="K57" s="932"/>
      <c r="L57" s="932"/>
      <c r="M57" s="932"/>
    </row>
    <row r="58" spans="1:14">
      <c r="B58" s="468" t="s">
        <v>632</v>
      </c>
      <c r="C58" s="932" t="s">
        <v>633</v>
      </c>
      <c r="D58" s="932"/>
      <c r="E58" s="932"/>
      <c r="F58" s="932"/>
      <c r="G58" s="932"/>
      <c r="H58" s="932"/>
      <c r="I58" s="932"/>
      <c r="J58" s="932"/>
      <c r="K58" s="932"/>
      <c r="L58" s="932"/>
      <c r="M58" s="932"/>
    </row>
    <row r="59" spans="1:14">
      <c r="B59" s="468" t="s">
        <v>634</v>
      </c>
      <c r="C59" s="932" t="s">
        <v>635</v>
      </c>
      <c r="D59" s="932"/>
      <c r="E59" s="932"/>
      <c r="F59" s="932"/>
      <c r="G59" s="932"/>
      <c r="H59" s="932"/>
      <c r="I59" s="932"/>
      <c r="J59" s="932"/>
      <c r="K59" s="932"/>
      <c r="L59" s="932"/>
      <c r="M59" s="932"/>
    </row>
    <row r="60" spans="1:14">
      <c r="B60" s="468" t="s">
        <v>636</v>
      </c>
      <c r="C60" s="932" t="s">
        <v>637</v>
      </c>
      <c r="D60" s="932"/>
      <c r="E60" s="932"/>
      <c r="F60" s="932"/>
      <c r="G60" s="932"/>
      <c r="H60" s="932"/>
      <c r="I60" s="932"/>
      <c r="J60" s="932"/>
      <c r="K60" s="932"/>
      <c r="L60" s="932"/>
      <c r="M60" s="932"/>
    </row>
    <row r="61" spans="1:14">
      <c r="B61" s="468" t="s">
        <v>638</v>
      </c>
      <c r="C61" s="932" t="s">
        <v>639</v>
      </c>
      <c r="D61" s="932"/>
      <c r="E61" s="932"/>
      <c r="F61" s="932"/>
      <c r="G61" s="932"/>
      <c r="H61" s="932"/>
      <c r="I61" s="932"/>
      <c r="J61" s="932"/>
      <c r="K61" s="932"/>
      <c r="L61" s="932"/>
      <c r="M61" s="932"/>
    </row>
    <row r="62" spans="1:14">
      <c r="B62" s="468" t="s">
        <v>640</v>
      </c>
      <c r="C62" s="932" t="s">
        <v>641</v>
      </c>
      <c r="D62" s="932"/>
      <c r="E62" s="932"/>
      <c r="F62" s="932"/>
      <c r="G62" s="932"/>
      <c r="H62" s="932"/>
      <c r="I62" s="932"/>
      <c r="J62" s="932"/>
      <c r="K62" s="932"/>
      <c r="L62" s="932"/>
      <c r="M62" s="932"/>
    </row>
    <row r="63" spans="1:14">
      <c r="B63" s="468" t="s">
        <v>642</v>
      </c>
      <c r="C63" s="932" t="s">
        <v>643</v>
      </c>
      <c r="D63" s="932"/>
      <c r="E63" s="932"/>
      <c r="F63" s="932"/>
      <c r="G63" s="932"/>
      <c r="H63" s="932"/>
      <c r="I63" s="932"/>
      <c r="J63" s="932"/>
      <c r="K63" s="932"/>
      <c r="L63" s="932"/>
      <c r="M63" s="932"/>
    </row>
    <row r="64" spans="1:14">
      <c r="B64" s="468" t="s">
        <v>644</v>
      </c>
      <c r="C64" s="932" t="s">
        <v>645</v>
      </c>
      <c r="D64" s="932"/>
      <c r="E64" s="932"/>
      <c r="F64" s="932"/>
      <c r="G64" s="932"/>
      <c r="H64" s="932"/>
      <c r="I64" s="932"/>
      <c r="J64" s="932"/>
      <c r="K64" s="932"/>
      <c r="L64" s="932"/>
    </row>
    <row r="65" spans="2:12">
      <c r="B65" s="468" t="s">
        <v>646</v>
      </c>
      <c r="C65" s="932" t="s">
        <v>647</v>
      </c>
      <c r="D65" s="932"/>
      <c r="E65" s="932"/>
      <c r="F65" s="932"/>
      <c r="G65" s="932"/>
      <c r="H65" s="932"/>
      <c r="I65" s="932"/>
      <c r="J65" s="932"/>
      <c r="K65" s="932"/>
      <c r="L65" s="932"/>
    </row>
    <row r="66" spans="2:12">
      <c r="B66" s="468" t="s">
        <v>648</v>
      </c>
      <c r="C66" s="932" t="s">
        <v>649</v>
      </c>
      <c r="D66" s="932"/>
      <c r="E66" s="932"/>
      <c r="F66" s="932"/>
      <c r="G66" s="932"/>
      <c r="H66" s="932"/>
      <c r="I66" s="932"/>
      <c r="J66" s="932"/>
      <c r="K66" s="932"/>
      <c r="L66" s="932"/>
    </row>
    <row r="67" spans="2:12">
      <c r="B67" s="468" t="s">
        <v>650</v>
      </c>
      <c r="C67" s="932" t="s">
        <v>651</v>
      </c>
      <c r="D67" s="932"/>
      <c r="E67" s="932"/>
      <c r="F67" s="932"/>
      <c r="G67" s="932"/>
      <c r="H67" s="932"/>
      <c r="I67" s="932"/>
      <c r="J67" s="932"/>
      <c r="K67" s="932"/>
      <c r="L67" s="932"/>
    </row>
    <row r="68" spans="2:12">
      <c r="B68" s="468" t="s">
        <v>652</v>
      </c>
      <c r="C68" s="932" t="s">
        <v>653</v>
      </c>
      <c r="D68" s="932"/>
      <c r="E68" s="932"/>
      <c r="F68" s="932"/>
      <c r="G68" s="932"/>
      <c r="H68" s="932"/>
      <c r="I68" s="932"/>
      <c r="J68" s="932"/>
      <c r="K68" s="932"/>
      <c r="L68" s="932"/>
    </row>
    <row r="69" spans="2:12">
      <c r="B69" s="468" t="s">
        <v>654</v>
      </c>
      <c r="C69" s="932" t="s">
        <v>655</v>
      </c>
      <c r="D69" s="932"/>
      <c r="E69" s="932"/>
      <c r="F69" s="932"/>
      <c r="G69" s="932"/>
      <c r="H69" s="932"/>
      <c r="I69" s="932"/>
      <c r="J69" s="932"/>
      <c r="K69" s="932"/>
      <c r="L69" s="932"/>
    </row>
    <row r="70" spans="2:12" ht="51.75" customHeight="1">
      <c r="B70" s="468" t="s">
        <v>656</v>
      </c>
      <c r="C70" s="935" t="s">
        <v>657</v>
      </c>
      <c r="D70" s="935"/>
      <c r="E70" s="935"/>
      <c r="F70" s="935"/>
      <c r="G70" s="935"/>
      <c r="H70" s="935"/>
      <c r="I70" s="935"/>
      <c r="J70" s="935"/>
      <c r="K70" s="935"/>
      <c r="L70" s="935"/>
    </row>
    <row r="71" spans="2:12">
      <c r="B71" s="468" t="s">
        <v>658</v>
      </c>
      <c r="C71" s="932" t="s">
        <v>659</v>
      </c>
      <c r="D71" s="932"/>
      <c r="E71" s="932"/>
      <c r="F71" s="932"/>
      <c r="G71" s="932"/>
      <c r="H71" s="932"/>
      <c r="I71" s="932"/>
      <c r="J71" s="932"/>
      <c r="K71" s="932"/>
      <c r="L71" s="932"/>
    </row>
    <row r="72" spans="2:12" ht="55.5" customHeight="1">
      <c r="B72" s="468" t="s">
        <v>660</v>
      </c>
      <c r="C72" s="935" t="s">
        <v>661</v>
      </c>
      <c r="D72" s="935"/>
      <c r="E72" s="935"/>
      <c r="F72" s="935"/>
      <c r="G72" s="935"/>
      <c r="H72" s="935"/>
      <c r="I72" s="935"/>
      <c r="J72" s="935"/>
      <c r="K72" s="935"/>
      <c r="L72" s="935"/>
    </row>
    <row r="73" spans="2:12">
      <c r="C73" s="934"/>
      <c r="D73" s="934"/>
      <c r="E73" s="934"/>
      <c r="F73" s="934"/>
      <c r="G73" s="934"/>
      <c r="H73" s="934"/>
      <c r="I73" s="934"/>
      <c r="J73" s="934"/>
      <c r="K73" s="934"/>
      <c r="L73" s="934"/>
    </row>
    <row r="80" spans="2:12">
      <c r="C80" s="473" t="s">
        <v>3</v>
      </c>
    </row>
    <row r="230" spans="1:9">
      <c r="H230" s="534"/>
      <c r="I230" s="534"/>
    </row>
    <row r="232" spans="1:9">
      <c r="A232" s="473"/>
      <c r="B232" s="473"/>
    </row>
    <row r="233" spans="1:9">
      <c r="A233" s="473"/>
      <c r="B233" s="473"/>
    </row>
    <row r="234" spans="1:9">
      <c r="A234" s="473"/>
      <c r="B234" s="473"/>
    </row>
    <row r="235" spans="1:9">
      <c r="A235" s="473"/>
      <c r="B235" s="473"/>
    </row>
    <row r="236" spans="1:9">
      <c r="A236" s="473"/>
      <c r="B236" s="473"/>
    </row>
    <row r="237" spans="1:9">
      <c r="A237" s="473"/>
      <c r="B237" s="473"/>
    </row>
    <row r="238" spans="1:9">
      <c r="A238" s="473"/>
      <c r="B238" s="473"/>
    </row>
    <row r="239" spans="1:9">
      <c r="A239" s="473"/>
      <c r="B239" s="473"/>
    </row>
    <row r="240" spans="1:9">
      <c r="A240" s="473"/>
      <c r="B240" s="473"/>
    </row>
  </sheetData>
  <mergeCells count="31">
    <mergeCell ref="C73:L73"/>
    <mergeCell ref="C67:L67"/>
    <mergeCell ref="C68:L68"/>
    <mergeCell ref="C69:L69"/>
    <mergeCell ref="C70:L70"/>
    <mergeCell ref="C71:L71"/>
    <mergeCell ref="C72:L72"/>
    <mergeCell ref="C66:L66"/>
    <mergeCell ref="C53:D53"/>
    <mergeCell ref="C54:D54"/>
    <mergeCell ref="C57:M57"/>
    <mergeCell ref="C58:M58"/>
    <mergeCell ref="C59:M59"/>
    <mergeCell ref="C60:M60"/>
    <mergeCell ref="C61:M61"/>
    <mergeCell ref="C62:M62"/>
    <mergeCell ref="C63:M63"/>
    <mergeCell ref="C64:L64"/>
    <mergeCell ref="C65:L65"/>
    <mergeCell ref="C52:D52"/>
    <mergeCell ref="A2:L2"/>
    <mergeCell ref="A3:N3"/>
    <mergeCell ref="G18:J18"/>
    <mergeCell ref="C40:D40"/>
    <mergeCell ref="C41:D41"/>
    <mergeCell ref="C42:D42"/>
    <mergeCell ref="C43:D43"/>
    <mergeCell ref="C48:D48"/>
    <mergeCell ref="C49:D49"/>
    <mergeCell ref="C50:D50"/>
    <mergeCell ref="C51:D51"/>
  </mergeCells>
  <printOptions horizontalCentered="1"/>
  <pageMargins left="0.25" right="0.25" top="0.75" bottom="0.25" header="0.4" footer="0.5"/>
  <pageSetup scale="36" orientation="landscape"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28CB-5FC7-4EF9-823A-BA32F62CAA7A}">
  <dimension ref="A1:N64"/>
  <sheetViews>
    <sheetView view="pageBreakPreview" zoomScale="80" zoomScaleNormal="80" zoomScaleSheetLayoutView="80" workbookViewId="0">
      <selection activeCell="E187" sqref="E187"/>
    </sheetView>
  </sheetViews>
  <sheetFormatPr defaultColWidth="8.88671875" defaultRowHeight="15.75"/>
  <cols>
    <col min="1" max="1" width="6.109375" style="146" bestFit="1" customWidth="1"/>
    <col min="2" max="2" width="21.88671875" style="23" customWidth="1"/>
    <col min="3" max="3" width="4.44140625" style="23" bestFit="1" customWidth="1"/>
    <col min="4" max="4" width="2.21875" style="23" customWidth="1"/>
    <col min="5" max="5" width="18.88671875" style="23" customWidth="1"/>
    <col min="6" max="6" width="1.88671875" style="23" customWidth="1"/>
    <col min="7" max="7" width="18.6640625" style="23" customWidth="1"/>
    <col min="8" max="8" width="12.88671875" style="23" customWidth="1"/>
    <col min="9" max="9" width="15" style="23" customWidth="1"/>
    <col min="10" max="10" width="15.88671875" style="23" customWidth="1"/>
    <col min="11" max="11" width="1.44140625" style="23" customWidth="1"/>
    <col min="12" max="12" width="13.44140625" style="23" customWidth="1"/>
    <col min="14" max="14" width="8.44140625" bestFit="1" customWidth="1"/>
  </cols>
  <sheetData>
    <row r="1" spans="1:13" s="535" customFormat="1">
      <c r="A1" s="146"/>
      <c r="B1" s="936"/>
      <c r="C1" s="936"/>
      <c r="D1" s="936"/>
      <c r="E1" s="936"/>
      <c r="F1" s="936"/>
      <c r="G1" s="936"/>
      <c r="H1" s="936"/>
      <c r="I1" s="936"/>
      <c r="J1" s="936"/>
      <c r="K1" s="936"/>
      <c r="L1" s="936"/>
    </row>
    <row r="2" spans="1:13" s="535" customFormat="1">
      <c r="A2" s="146"/>
      <c r="B2" s="937" t="s">
        <v>662</v>
      </c>
      <c r="C2" s="937"/>
      <c r="D2" s="937"/>
      <c r="E2" s="937"/>
      <c r="F2" s="937"/>
      <c r="G2" s="937"/>
      <c r="H2" s="937"/>
      <c r="I2" s="937"/>
      <c r="J2" s="937"/>
      <c r="K2" s="937"/>
      <c r="L2" s="937"/>
    </row>
    <row r="3" spans="1:13" s="535" customFormat="1">
      <c r="A3" s="146"/>
      <c r="B3" s="938"/>
      <c r="C3" s="938"/>
      <c r="D3" s="938"/>
      <c r="E3" s="938"/>
      <c r="F3" s="938"/>
      <c r="G3" s="938"/>
      <c r="H3" s="938"/>
      <c r="I3" s="938"/>
      <c r="J3" s="938"/>
      <c r="K3" s="938"/>
      <c r="L3" s="938"/>
    </row>
    <row r="4" spans="1:13" s="535" customFormat="1">
      <c r="A4" s="146"/>
      <c r="B4" s="939" t="s">
        <v>521</v>
      </c>
      <c r="C4" s="940"/>
      <c r="D4" s="940"/>
      <c r="E4" s="940"/>
      <c r="F4" s="940"/>
      <c r="G4" s="940"/>
      <c r="H4" s="940"/>
      <c r="I4" s="940"/>
      <c r="J4" s="940"/>
      <c r="K4" s="940"/>
      <c r="L4" s="940"/>
    </row>
    <row r="5" spans="1:13">
      <c r="B5" s="536"/>
      <c r="C5" s="536"/>
      <c r="D5" s="536"/>
      <c r="E5" s="536"/>
      <c r="F5" s="536"/>
      <c r="G5" s="536"/>
      <c r="H5" s="536"/>
      <c r="I5" s="536"/>
      <c r="J5" s="536"/>
      <c r="K5" s="536"/>
      <c r="L5" s="536"/>
    </row>
    <row r="6" spans="1:13">
      <c r="B6" s="536"/>
      <c r="C6" s="536"/>
      <c r="D6" s="536"/>
      <c r="E6" s="536"/>
      <c r="F6" s="536"/>
      <c r="G6" s="536"/>
      <c r="H6" s="536"/>
      <c r="I6" s="536"/>
      <c r="J6" s="536"/>
      <c r="K6" s="536"/>
      <c r="L6" s="536"/>
    </row>
    <row r="7" spans="1:13" ht="16.5" thickBot="1">
      <c r="A7" s="400">
        <v>1</v>
      </c>
      <c r="B7" s="537">
        <v>2023</v>
      </c>
      <c r="C7" s="538"/>
      <c r="D7" s="538"/>
      <c r="E7" s="537">
        <v>2023</v>
      </c>
      <c r="F7" s="536"/>
      <c r="G7" s="536"/>
      <c r="H7" s="536"/>
      <c r="I7" s="536"/>
      <c r="K7" s="536"/>
      <c r="L7" s="536"/>
      <c r="M7" s="535"/>
    </row>
    <row r="8" spans="1:13" ht="31.5">
      <c r="A8" s="400">
        <f>+A7+1</f>
        <v>2</v>
      </c>
      <c r="B8" s="539" t="s">
        <v>663</v>
      </c>
      <c r="C8" s="536"/>
      <c r="D8" s="536"/>
      <c r="E8" s="539" t="s">
        <v>664</v>
      </c>
      <c r="F8" s="536"/>
      <c r="G8" s="536"/>
      <c r="H8" s="539" t="s">
        <v>665</v>
      </c>
      <c r="K8" s="536"/>
      <c r="L8" s="536"/>
      <c r="M8" s="535"/>
    </row>
    <row r="9" spans="1:13">
      <c r="A9" s="400">
        <f t="shared" ref="A9:A55" si="0">+A8+1</f>
        <v>3</v>
      </c>
      <c r="B9" s="540"/>
      <c r="C9" s="536"/>
      <c r="D9" s="536"/>
      <c r="E9" s="540"/>
      <c r="F9" s="536"/>
      <c r="G9" s="536"/>
      <c r="H9" s="541"/>
      <c r="K9" s="536"/>
      <c r="L9" s="536"/>
      <c r="M9" s="535"/>
    </row>
    <row r="10" spans="1:13" ht="16.5" thickBot="1">
      <c r="A10" s="400">
        <f>+A9+1</f>
        <v>4</v>
      </c>
      <c r="B10" s="542">
        <v>27901946</v>
      </c>
      <c r="C10" s="543" t="s">
        <v>666</v>
      </c>
      <c r="D10" s="544"/>
      <c r="E10" s="542">
        <v>24892408.172102552</v>
      </c>
      <c r="F10" s="545"/>
      <c r="G10" s="543" t="s">
        <v>667</v>
      </c>
      <c r="H10" s="546">
        <f>IF(E10=0,0,B10-E10)</f>
        <v>3009537.8278974481</v>
      </c>
      <c r="K10" s="536"/>
      <c r="L10" s="536"/>
      <c r="M10" s="535"/>
    </row>
    <row r="11" spans="1:13">
      <c r="A11" s="400">
        <f t="shared" si="0"/>
        <v>5</v>
      </c>
      <c r="B11" s="545"/>
      <c r="C11" s="544"/>
      <c r="D11" s="544"/>
      <c r="E11" s="545"/>
      <c r="F11" s="545"/>
      <c r="G11" s="544"/>
      <c r="H11" s="545"/>
      <c r="I11" s="536"/>
      <c r="J11" s="536"/>
      <c r="K11" s="536"/>
      <c r="L11" s="536"/>
      <c r="M11" s="535"/>
    </row>
    <row r="12" spans="1:13" ht="16.5" thickBot="1">
      <c r="A12" s="400">
        <f t="shared" si="0"/>
        <v>6</v>
      </c>
      <c r="B12" s="547"/>
      <c r="C12" s="548"/>
      <c r="D12" s="548"/>
      <c r="E12" s="547"/>
      <c r="F12" s="547"/>
      <c r="G12" s="548"/>
      <c r="H12" s="547"/>
      <c r="I12" s="549"/>
      <c r="J12" s="549"/>
      <c r="K12" s="549"/>
      <c r="L12" s="549"/>
      <c r="M12" s="535"/>
    </row>
    <row r="13" spans="1:13" ht="23.25" customHeight="1">
      <c r="A13" s="400">
        <f t="shared" si="0"/>
        <v>7</v>
      </c>
      <c r="B13" s="550"/>
      <c r="C13" s="544"/>
      <c r="D13" s="544"/>
      <c r="E13" s="545"/>
      <c r="F13" s="545"/>
      <c r="G13" s="544"/>
      <c r="H13" s="545"/>
      <c r="I13" s="536"/>
      <c r="J13" s="536"/>
      <c r="K13" s="536"/>
      <c r="L13" s="536"/>
      <c r="M13" s="535"/>
    </row>
    <row r="14" spans="1:13" ht="53.25" customHeight="1">
      <c r="A14" s="400">
        <f t="shared" si="0"/>
        <v>8</v>
      </c>
      <c r="B14" s="551" t="s">
        <v>668</v>
      </c>
      <c r="C14" s="544"/>
      <c r="D14" s="544"/>
      <c r="E14" s="552" t="s">
        <v>669</v>
      </c>
      <c r="F14" s="545"/>
      <c r="G14" s="552" t="s">
        <v>670</v>
      </c>
      <c r="H14" s="543" t="s">
        <v>671</v>
      </c>
      <c r="I14" s="553" t="s">
        <v>672</v>
      </c>
      <c r="J14" s="552" t="s">
        <v>673</v>
      </c>
      <c r="K14" s="554"/>
      <c r="L14" s="552" t="s">
        <v>674</v>
      </c>
      <c r="M14" s="535"/>
    </row>
    <row r="15" spans="1:13">
      <c r="A15" s="400">
        <f t="shared" si="0"/>
        <v>9</v>
      </c>
      <c r="B15" s="551"/>
      <c r="C15" s="544"/>
      <c r="D15" s="544"/>
      <c r="E15" s="536"/>
      <c r="F15" s="555"/>
      <c r="G15" s="556">
        <v>6.3083333333333333E-3</v>
      </c>
      <c r="H15" s="545"/>
      <c r="I15" s="536"/>
      <c r="J15" s="536"/>
      <c r="K15" s="536"/>
      <c r="L15" s="536"/>
      <c r="M15" s="535"/>
    </row>
    <row r="16" spans="1:13">
      <c r="A16" s="400">
        <f t="shared" si="0"/>
        <v>10</v>
      </c>
      <c r="B16" s="551"/>
      <c r="C16" s="544"/>
      <c r="D16" s="544"/>
      <c r="E16" s="536"/>
      <c r="F16" s="555"/>
      <c r="G16" s="555"/>
      <c r="H16" s="545"/>
      <c r="I16" s="536"/>
      <c r="J16" s="536"/>
      <c r="K16" s="536"/>
      <c r="L16" s="536"/>
      <c r="M16" s="535"/>
    </row>
    <row r="17" spans="1:13">
      <c r="A17" s="400">
        <f t="shared" si="0"/>
        <v>11</v>
      </c>
      <c r="B17" s="551" t="s">
        <v>675</v>
      </c>
      <c r="C17" s="544"/>
      <c r="D17" s="544"/>
      <c r="E17" s="536"/>
      <c r="F17" s="555"/>
      <c r="G17" s="555"/>
      <c r="H17" s="545"/>
      <c r="I17" s="536"/>
      <c r="J17" s="536"/>
      <c r="K17" s="536"/>
      <c r="L17" s="536"/>
      <c r="M17" s="535"/>
    </row>
    <row r="18" spans="1:13">
      <c r="A18" s="400">
        <f t="shared" si="0"/>
        <v>12</v>
      </c>
      <c r="B18" s="557" t="s">
        <v>3</v>
      </c>
      <c r="C18" s="544"/>
      <c r="D18" s="544"/>
      <c r="E18" s="544"/>
      <c r="F18" s="544"/>
      <c r="G18" s="544" t="s">
        <v>3</v>
      </c>
      <c r="H18" s="536"/>
      <c r="I18" s="536"/>
      <c r="J18" s="536"/>
      <c r="K18" s="536"/>
      <c r="L18" s="536"/>
      <c r="M18" s="535"/>
    </row>
    <row r="19" spans="1:13">
      <c r="A19" s="400">
        <f t="shared" si="0"/>
        <v>13</v>
      </c>
      <c r="B19" s="558"/>
      <c r="C19" s="544"/>
      <c r="D19" s="544"/>
      <c r="E19" s="544"/>
      <c r="F19" s="544"/>
      <c r="G19" s="536"/>
      <c r="H19" s="536"/>
      <c r="I19" s="543"/>
      <c r="J19" s="544"/>
      <c r="K19" s="544"/>
      <c r="L19" s="544"/>
      <c r="M19" s="535"/>
    </row>
    <row r="20" spans="1:13">
      <c r="A20" s="400">
        <f t="shared" si="0"/>
        <v>14</v>
      </c>
      <c r="B20" s="558" t="s">
        <v>676</v>
      </c>
      <c r="C20" s="544"/>
      <c r="D20" s="544"/>
      <c r="E20" s="544"/>
      <c r="F20" s="544"/>
      <c r="G20" s="536"/>
      <c r="H20" s="536"/>
      <c r="I20" s="543" t="s">
        <v>677</v>
      </c>
      <c r="J20" s="544"/>
      <c r="K20" s="544"/>
      <c r="L20" s="544"/>
      <c r="M20" s="535"/>
    </row>
    <row r="21" spans="1:13">
      <c r="A21" s="400">
        <f t="shared" si="0"/>
        <v>15</v>
      </c>
      <c r="B21" s="536" t="s">
        <v>295</v>
      </c>
      <c r="C21" s="559">
        <v>2023</v>
      </c>
      <c r="D21" s="536"/>
      <c r="E21" s="560">
        <f>+H10/12</f>
        <v>250794.818991454</v>
      </c>
      <c r="F21" s="560"/>
      <c r="G21" s="561">
        <f>+G15</f>
        <v>6.3083333333333333E-3</v>
      </c>
      <c r="H21" s="560">
        <v>12</v>
      </c>
      <c r="I21" s="560">
        <f>G21*E21*H21*-1</f>
        <v>-18985.16779765307</v>
      </c>
      <c r="J21" s="560"/>
      <c r="K21" s="560"/>
      <c r="L21" s="560">
        <f>(-I21+E21)*-1</f>
        <v>-269779.98678910709</v>
      </c>
      <c r="M21" s="535"/>
    </row>
    <row r="22" spans="1:13">
      <c r="A22" s="400">
        <f t="shared" si="0"/>
        <v>16</v>
      </c>
      <c r="B22" s="536" t="s">
        <v>297</v>
      </c>
      <c r="C22" s="559">
        <v>2023</v>
      </c>
      <c r="D22" s="536"/>
      <c r="E22" s="560">
        <f>+E21</f>
        <v>250794.818991454</v>
      </c>
      <c r="F22" s="560"/>
      <c r="G22" s="561">
        <f>+G21</f>
        <v>6.3083333333333333E-3</v>
      </c>
      <c r="H22" s="30">
        <f t="shared" ref="H22:H32" si="1">+H21-1</f>
        <v>11</v>
      </c>
      <c r="I22" s="560">
        <f t="shared" ref="I22:I32" si="2">G22*E22*H22*-1</f>
        <v>-17403.070481181978</v>
      </c>
      <c r="J22" s="560"/>
      <c r="K22" s="560"/>
      <c r="L22" s="560">
        <f t="shared" ref="L22:L32" si="3">(-I22+E22)*-1</f>
        <v>-268197.88947263599</v>
      </c>
      <c r="M22" s="535"/>
    </row>
    <row r="23" spans="1:13">
      <c r="A23" s="400">
        <f t="shared" si="0"/>
        <v>17</v>
      </c>
      <c r="B23" s="536" t="s">
        <v>298</v>
      </c>
      <c r="C23" s="559">
        <v>2023</v>
      </c>
      <c r="D23" s="536"/>
      <c r="E23" s="560">
        <f t="shared" ref="E23:E32" si="4">+E22</f>
        <v>250794.818991454</v>
      </c>
      <c r="F23" s="560"/>
      <c r="G23" s="561">
        <f t="shared" ref="G23:G32" si="5">+G22</f>
        <v>6.3083333333333333E-3</v>
      </c>
      <c r="H23" s="30">
        <f t="shared" si="1"/>
        <v>10</v>
      </c>
      <c r="I23" s="560">
        <f t="shared" si="2"/>
        <v>-15820.973164710889</v>
      </c>
      <c r="J23" s="560"/>
      <c r="K23" s="560"/>
      <c r="L23" s="560">
        <f t="shared" si="3"/>
        <v>-266615.79215616488</v>
      </c>
      <c r="M23" s="535"/>
    </row>
    <row r="24" spans="1:13">
      <c r="A24" s="400">
        <f t="shared" si="0"/>
        <v>18</v>
      </c>
      <c r="B24" s="536" t="s">
        <v>299</v>
      </c>
      <c r="C24" s="559">
        <v>2023</v>
      </c>
      <c r="D24" s="536"/>
      <c r="E24" s="560">
        <f t="shared" si="4"/>
        <v>250794.818991454</v>
      </c>
      <c r="F24" s="560"/>
      <c r="G24" s="561">
        <f t="shared" si="5"/>
        <v>6.3083333333333333E-3</v>
      </c>
      <c r="H24" s="30">
        <f t="shared" si="1"/>
        <v>9</v>
      </c>
      <c r="I24" s="560">
        <f t="shared" si="2"/>
        <v>-14238.875848239801</v>
      </c>
      <c r="J24" s="560"/>
      <c r="K24" s="560"/>
      <c r="L24" s="560">
        <f t="shared" si="3"/>
        <v>-265033.69483969378</v>
      </c>
      <c r="M24" s="535"/>
    </row>
    <row r="25" spans="1:13">
      <c r="A25" s="400">
        <f t="shared" si="0"/>
        <v>19</v>
      </c>
      <c r="B25" s="536" t="s">
        <v>300</v>
      </c>
      <c r="C25" s="559">
        <v>2023</v>
      </c>
      <c r="D25" s="536"/>
      <c r="E25" s="560">
        <f t="shared" si="4"/>
        <v>250794.818991454</v>
      </c>
      <c r="F25" s="560"/>
      <c r="G25" s="561">
        <f t="shared" si="5"/>
        <v>6.3083333333333333E-3</v>
      </c>
      <c r="H25" s="30">
        <f t="shared" si="1"/>
        <v>8</v>
      </c>
      <c r="I25" s="560">
        <f t="shared" si="2"/>
        <v>-12656.778531768712</v>
      </c>
      <c r="J25" s="560"/>
      <c r="K25" s="560"/>
      <c r="L25" s="560">
        <f t="shared" si="3"/>
        <v>-263451.59752322274</v>
      </c>
      <c r="M25" s="535"/>
    </row>
    <row r="26" spans="1:13">
      <c r="A26" s="400">
        <f t="shared" si="0"/>
        <v>20</v>
      </c>
      <c r="B26" s="536" t="s">
        <v>466</v>
      </c>
      <c r="C26" s="559">
        <v>2023</v>
      </c>
      <c r="D26" s="536"/>
      <c r="E26" s="560">
        <f t="shared" si="4"/>
        <v>250794.818991454</v>
      </c>
      <c r="F26" s="560"/>
      <c r="G26" s="561">
        <f t="shared" si="5"/>
        <v>6.3083333333333333E-3</v>
      </c>
      <c r="H26" s="30">
        <f t="shared" si="1"/>
        <v>7</v>
      </c>
      <c r="I26" s="560">
        <f t="shared" si="2"/>
        <v>-11074.681215297624</v>
      </c>
      <c r="J26" s="560"/>
      <c r="K26" s="560"/>
      <c r="L26" s="560">
        <f t="shared" si="3"/>
        <v>-261869.50020675163</v>
      </c>
      <c r="M26" s="535"/>
    </row>
    <row r="27" spans="1:13">
      <c r="A27" s="400">
        <f t="shared" si="0"/>
        <v>21</v>
      </c>
      <c r="B27" s="536" t="s">
        <v>302</v>
      </c>
      <c r="C27" s="559">
        <v>2023</v>
      </c>
      <c r="D27" s="536"/>
      <c r="E27" s="560">
        <f t="shared" si="4"/>
        <v>250794.818991454</v>
      </c>
      <c r="F27" s="560"/>
      <c r="G27" s="561">
        <f t="shared" si="5"/>
        <v>6.3083333333333333E-3</v>
      </c>
      <c r="H27" s="30">
        <f t="shared" si="1"/>
        <v>6</v>
      </c>
      <c r="I27" s="560">
        <f t="shared" si="2"/>
        <v>-9492.583898826535</v>
      </c>
      <c r="J27" s="560"/>
      <c r="K27" s="560"/>
      <c r="L27" s="560">
        <f t="shared" si="3"/>
        <v>-260287.40289028053</v>
      </c>
      <c r="M27" s="535"/>
    </row>
    <row r="28" spans="1:13">
      <c r="A28" s="400">
        <f t="shared" si="0"/>
        <v>22</v>
      </c>
      <c r="B28" s="536" t="s">
        <v>303</v>
      </c>
      <c r="C28" s="559">
        <v>2023</v>
      </c>
      <c r="D28" s="536"/>
      <c r="E28" s="560">
        <f t="shared" si="4"/>
        <v>250794.818991454</v>
      </c>
      <c r="F28" s="560"/>
      <c r="G28" s="561">
        <f t="shared" si="5"/>
        <v>6.3083333333333333E-3</v>
      </c>
      <c r="H28" s="30">
        <f t="shared" si="1"/>
        <v>5</v>
      </c>
      <c r="I28" s="560">
        <f t="shared" si="2"/>
        <v>-7910.4865823554446</v>
      </c>
      <c r="J28" s="560"/>
      <c r="K28" s="560"/>
      <c r="L28" s="560">
        <f t="shared" si="3"/>
        <v>-258705.30557380946</v>
      </c>
      <c r="M28" s="535"/>
    </row>
    <row r="29" spans="1:13">
      <c r="A29" s="400">
        <f t="shared" si="0"/>
        <v>23</v>
      </c>
      <c r="B29" s="536" t="s">
        <v>304</v>
      </c>
      <c r="C29" s="559">
        <v>2023</v>
      </c>
      <c r="D29" s="536"/>
      <c r="E29" s="560">
        <f t="shared" si="4"/>
        <v>250794.818991454</v>
      </c>
      <c r="F29" s="560"/>
      <c r="G29" s="561">
        <f t="shared" si="5"/>
        <v>6.3083333333333333E-3</v>
      </c>
      <c r="H29" s="30">
        <f t="shared" si="1"/>
        <v>4</v>
      </c>
      <c r="I29" s="560">
        <f t="shared" si="2"/>
        <v>-6328.3892658843561</v>
      </c>
      <c r="J29" s="560"/>
      <c r="K29" s="560"/>
      <c r="L29" s="560">
        <f t="shared" si="3"/>
        <v>-257123.20825733835</v>
      </c>
      <c r="M29" s="535"/>
    </row>
    <row r="30" spans="1:13">
      <c r="A30" s="400">
        <f t="shared" si="0"/>
        <v>24</v>
      </c>
      <c r="B30" s="536" t="s">
        <v>311</v>
      </c>
      <c r="C30" s="559">
        <v>2023</v>
      </c>
      <c r="D30" s="536"/>
      <c r="E30" s="560">
        <f t="shared" si="4"/>
        <v>250794.818991454</v>
      </c>
      <c r="F30" s="560"/>
      <c r="G30" s="561">
        <f t="shared" si="5"/>
        <v>6.3083333333333333E-3</v>
      </c>
      <c r="H30" s="30">
        <f t="shared" si="1"/>
        <v>3</v>
      </c>
      <c r="I30" s="560">
        <f t="shared" si="2"/>
        <v>-4746.2919494132675</v>
      </c>
      <c r="J30" s="560"/>
      <c r="K30" s="560"/>
      <c r="L30" s="560">
        <f t="shared" si="3"/>
        <v>-255541.11094086728</v>
      </c>
      <c r="M30" s="535"/>
    </row>
    <row r="31" spans="1:13">
      <c r="A31" s="400">
        <f t="shared" si="0"/>
        <v>25</v>
      </c>
      <c r="B31" s="536" t="s">
        <v>306</v>
      </c>
      <c r="C31" s="559">
        <v>2023</v>
      </c>
      <c r="D31" s="536"/>
      <c r="E31" s="560">
        <f t="shared" si="4"/>
        <v>250794.818991454</v>
      </c>
      <c r="F31" s="560"/>
      <c r="G31" s="561">
        <f t="shared" si="5"/>
        <v>6.3083333333333333E-3</v>
      </c>
      <c r="H31" s="30">
        <f t="shared" si="1"/>
        <v>2</v>
      </c>
      <c r="I31" s="560">
        <f t="shared" si="2"/>
        <v>-3164.194632942178</v>
      </c>
      <c r="J31" s="560"/>
      <c r="K31" s="560"/>
      <c r="L31" s="560">
        <f t="shared" si="3"/>
        <v>-253959.01362439618</v>
      </c>
      <c r="M31" s="535"/>
    </row>
    <row r="32" spans="1:13">
      <c r="A32" s="400">
        <f t="shared" si="0"/>
        <v>26</v>
      </c>
      <c r="B32" s="536" t="s">
        <v>293</v>
      </c>
      <c r="C32" s="559">
        <v>2023</v>
      </c>
      <c r="D32" s="536"/>
      <c r="E32" s="560">
        <f t="shared" si="4"/>
        <v>250794.818991454</v>
      </c>
      <c r="F32" s="560"/>
      <c r="G32" s="561">
        <f t="shared" si="5"/>
        <v>6.3083333333333333E-3</v>
      </c>
      <c r="H32" s="30">
        <f t="shared" si="1"/>
        <v>1</v>
      </c>
      <c r="I32" s="562">
        <f t="shared" si="2"/>
        <v>-1582.097316471089</v>
      </c>
      <c r="J32" s="560"/>
      <c r="K32" s="560"/>
      <c r="L32" s="560">
        <f t="shared" si="3"/>
        <v>-252376.9163079251</v>
      </c>
      <c r="M32" s="535"/>
    </row>
    <row r="33" spans="1:14">
      <c r="A33" s="400">
        <f t="shared" si="0"/>
        <v>27</v>
      </c>
      <c r="B33" s="536"/>
      <c r="C33" s="536"/>
      <c r="D33" s="536"/>
      <c r="E33" s="560"/>
      <c r="F33" s="560"/>
      <c r="G33" s="561"/>
      <c r="H33" s="30"/>
      <c r="I33" s="560">
        <f>SUM(I21:I32)</f>
        <v>-123403.59068474492</v>
      </c>
      <c r="J33" s="560"/>
      <c r="K33" s="560"/>
      <c r="L33" s="563">
        <f>SUM(L21:L32)</f>
        <v>-3132941.4185821931</v>
      </c>
      <c r="M33" s="535"/>
    </row>
    <row r="34" spans="1:14">
      <c r="A34" s="400">
        <f t="shared" si="0"/>
        <v>28</v>
      </c>
      <c r="B34" s="536"/>
      <c r="C34" s="536"/>
      <c r="D34" s="536"/>
      <c r="E34" s="560"/>
      <c r="F34" s="560"/>
      <c r="G34" s="561"/>
      <c r="H34" s="560"/>
      <c r="I34" s="560"/>
      <c r="J34" s="560" t="s">
        <v>3</v>
      </c>
      <c r="K34" s="560"/>
      <c r="M34" s="535"/>
    </row>
    <row r="35" spans="1:14">
      <c r="A35" s="400">
        <f t="shared" si="0"/>
        <v>29</v>
      </c>
      <c r="B35" s="536"/>
      <c r="C35" s="536"/>
      <c r="D35" s="536"/>
      <c r="E35" s="545"/>
      <c r="F35" s="545"/>
      <c r="G35" s="561"/>
      <c r="H35" s="560"/>
      <c r="I35" s="564" t="s">
        <v>678</v>
      </c>
      <c r="J35" s="560"/>
      <c r="K35" s="560"/>
      <c r="L35" s="560"/>
      <c r="M35" s="535"/>
    </row>
    <row r="36" spans="1:14">
      <c r="A36" s="400">
        <f t="shared" si="0"/>
        <v>30</v>
      </c>
      <c r="B36" s="536" t="s">
        <v>679</v>
      </c>
      <c r="C36" s="559">
        <v>2023</v>
      </c>
      <c r="D36" s="536"/>
      <c r="E36" s="545">
        <f>L33</f>
        <v>-3132941.4185821931</v>
      </c>
      <c r="F36" s="545"/>
      <c r="G36" s="561">
        <f>+G32</f>
        <v>6.3083333333333333E-3</v>
      </c>
      <c r="H36" s="560">
        <v>12</v>
      </c>
      <c r="I36" s="560">
        <f>+H36*G36*E36</f>
        <v>-237163.66538667202</v>
      </c>
      <c r="J36" s="560"/>
      <c r="K36" s="560"/>
      <c r="L36" s="563">
        <f>+E36+I36</f>
        <v>-3370105.0839688652</v>
      </c>
      <c r="M36" s="535"/>
    </row>
    <row r="37" spans="1:14">
      <c r="A37" s="400">
        <f t="shared" si="0"/>
        <v>31</v>
      </c>
      <c r="B37" s="536"/>
      <c r="C37" s="536"/>
      <c r="D37" s="536"/>
      <c r="E37" s="545"/>
      <c r="F37" s="545"/>
      <c r="G37" s="561"/>
      <c r="H37" s="536"/>
      <c r="I37" s="560"/>
      <c r="J37" s="560"/>
      <c r="K37" s="560"/>
      <c r="L37" s="560"/>
      <c r="M37" s="535"/>
    </row>
    <row r="38" spans="1:14">
      <c r="A38" s="400">
        <f t="shared" si="0"/>
        <v>32</v>
      </c>
      <c r="B38" s="565" t="s">
        <v>680</v>
      </c>
      <c r="C38" s="536"/>
      <c r="D38" s="536"/>
      <c r="E38" s="560"/>
      <c r="F38" s="560"/>
      <c r="G38" s="561"/>
      <c r="H38" s="536"/>
      <c r="I38" s="564" t="s">
        <v>677</v>
      </c>
      <c r="J38" s="560"/>
      <c r="K38" s="560"/>
      <c r="L38" s="560"/>
      <c r="M38" s="535"/>
    </row>
    <row r="39" spans="1:14">
      <c r="A39" s="400">
        <f t="shared" si="0"/>
        <v>33</v>
      </c>
      <c r="B39" s="536" t="s">
        <v>295</v>
      </c>
      <c r="C39" s="559">
        <v>2023</v>
      </c>
      <c r="D39" s="536"/>
      <c r="E39" s="566">
        <f>-L36</f>
        <v>3370105.0839688652</v>
      </c>
      <c r="F39" s="545"/>
      <c r="G39" s="561">
        <f>+G32</f>
        <v>6.3083333333333333E-3</v>
      </c>
      <c r="H39" s="536"/>
      <c r="I39" s="560">
        <f xml:space="preserve"> -G39*E39</f>
        <v>-21259.746238036925</v>
      </c>
      <c r="J39" s="560">
        <f>PMT(G39,12,L$36)</f>
        <v>292490.53742445412</v>
      </c>
      <c r="K39" s="560"/>
      <c r="L39" s="560">
        <f>(+E39+E39*G39-J39)*-1</f>
        <v>-3098874.2927824482</v>
      </c>
      <c r="M39" s="567"/>
      <c r="N39" s="568"/>
    </row>
    <row r="40" spans="1:14">
      <c r="A40" s="400">
        <f t="shared" si="0"/>
        <v>34</v>
      </c>
      <c r="B40" s="536" t="s">
        <v>297</v>
      </c>
      <c r="C40" s="559">
        <v>2023</v>
      </c>
      <c r="D40" s="536"/>
      <c r="E40" s="545">
        <f>-L39</f>
        <v>3098874.2927824482</v>
      </c>
      <c r="F40" s="545"/>
      <c r="G40" s="561">
        <f>+G39</f>
        <v>6.3083333333333333E-3</v>
      </c>
      <c r="H40" s="536"/>
      <c r="I40" s="560">
        <f t="shared" ref="I40:I50" si="6" xml:space="preserve"> -G40*E40</f>
        <v>-19548.731996969276</v>
      </c>
      <c r="J40" s="560">
        <f>J39</f>
        <v>292490.53742445412</v>
      </c>
      <c r="K40" s="560"/>
      <c r="L40" s="560">
        <f t="shared" ref="L40:L50" si="7">(+E40+E40*G40-J40)*-1</f>
        <v>-2825932.4873549636</v>
      </c>
      <c r="M40" s="567"/>
      <c r="N40" s="568"/>
    </row>
    <row r="41" spans="1:14">
      <c r="A41" s="400">
        <f t="shared" si="0"/>
        <v>35</v>
      </c>
      <c r="B41" s="536" t="s">
        <v>298</v>
      </c>
      <c r="C41" s="559">
        <v>2023</v>
      </c>
      <c r="D41" s="536"/>
      <c r="E41" s="545">
        <f t="shared" ref="E41:E50" si="8">-L40</f>
        <v>2825932.4873549636</v>
      </c>
      <c r="F41" s="545"/>
      <c r="G41" s="561">
        <f t="shared" ref="G41:G50" si="9">+G40</f>
        <v>6.3083333333333333E-3</v>
      </c>
      <c r="H41" s="536"/>
      <c r="I41" s="560">
        <f t="shared" si="6"/>
        <v>-17826.924107730894</v>
      </c>
      <c r="J41" s="560">
        <f t="shared" ref="J41:J50" si="10">J40</f>
        <v>292490.53742445412</v>
      </c>
      <c r="K41" s="560"/>
      <c r="L41" s="560">
        <f t="shared" si="7"/>
        <v>-2551268.8740382404</v>
      </c>
      <c r="M41" s="567"/>
      <c r="N41" s="568"/>
    </row>
    <row r="42" spans="1:14">
      <c r="A42" s="400">
        <f t="shared" si="0"/>
        <v>36</v>
      </c>
      <c r="B42" s="536" t="s">
        <v>299</v>
      </c>
      <c r="C42" s="559">
        <v>2023</v>
      </c>
      <c r="D42" s="536"/>
      <c r="E42" s="545">
        <f t="shared" si="8"/>
        <v>2551268.8740382404</v>
      </c>
      <c r="F42" s="545"/>
      <c r="G42" s="561">
        <f t="shared" si="9"/>
        <v>6.3083333333333333E-3</v>
      </c>
      <c r="H42" s="536"/>
      <c r="I42" s="560">
        <f t="shared" si="6"/>
        <v>-16094.254480391233</v>
      </c>
      <c r="J42" s="560">
        <f t="shared" si="10"/>
        <v>292490.53742445412</v>
      </c>
      <c r="K42" s="560"/>
      <c r="L42" s="560">
        <f t="shared" si="7"/>
        <v>-2274872.5910941777</v>
      </c>
      <c r="M42" s="567"/>
      <c r="N42" s="568"/>
    </row>
    <row r="43" spans="1:14">
      <c r="A43" s="400">
        <f t="shared" si="0"/>
        <v>37</v>
      </c>
      <c r="B43" s="536" t="s">
        <v>300</v>
      </c>
      <c r="C43" s="559">
        <v>2023</v>
      </c>
      <c r="D43" s="536"/>
      <c r="E43" s="545">
        <f t="shared" si="8"/>
        <v>2274872.5910941777</v>
      </c>
      <c r="F43" s="545"/>
      <c r="G43" s="561">
        <f t="shared" si="9"/>
        <v>6.3083333333333333E-3</v>
      </c>
      <c r="H43" s="536"/>
      <c r="I43" s="560">
        <f t="shared" si="6"/>
        <v>-14350.65459548577</v>
      </c>
      <c r="J43" s="560">
        <f t="shared" si="10"/>
        <v>292490.53742445412</v>
      </c>
      <c r="K43" s="560"/>
      <c r="L43" s="560">
        <f t="shared" si="7"/>
        <v>-1996732.7082652096</v>
      </c>
      <c r="M43" s="567"/>
      <c r="N43" s="568"/>
    </row>
    <row r="44" spans="1:14">
      <c r="A44" s="400">
        <f t="shared" si="0"/>
        <v>38</v>
      </c>
      <c r="B44" s="536" t="s">
        <v>466</v>
      </c>
      <c r="C44" s="559">
        <v>2023</v>
      </c>
      <c r="D44" s="536"/>
      <c r="E44" s="545">
        <f t="shared" si="8"/>
        <v>1996732.7082652096</v>
      </c>
      <c r="F44" s="545"/>
      <c r="G44" s="561">
        <f t="shared" si="9"/>
        <v>6.3083333333333333E-3</v>
      </c>
      <c r="H44" s="536"/>
      <c r="I44" s="560">
        <f t="shared" si="6"/>
        <v>-12596.055501306364</v>
      </c>
      <c r="J44" s="560">
        <f t="shared" si="10"/>
        <v>292490.53742445412</v>
      </c>
      <c r="K44" s="560"/>
      <c r="L44" s="560">
        <f t="shared" si="7"/>
        <v>-1716838.226342062</v>
      </c>
      <c r="M44" s="567"/>
      <c r="N44" s="568"/>
    </row>
    <row r="45" spans="1:14">
      <c r="A45" s="400">
        <f t="shared" si="0"/>
        <v>39</v>
      </c>
      <c r="B45" s="536" t="s">
        <v>302</v>
      </c>
      <c r="C45" s="559">
        <v>2023</v>
      </c>
      <c r="D45" s="536"/>
      <c r="E45" s="545">
        <f t="shared" si="8"/>
        <v>1716838.226342062</v>
      </c>
      <c r="F45" s="545"/>
      <c r="G45" s="561">
        <f t="shared" si="9"/>
        <v>6.3083333333333333E-3</v>
      </c>
      <c r="H45" s="536"/>
      <c r="I45" s="560">
        <f t="shared" si="6"/>
        <v>-10830.387811174507</v>
      </c>
      <c r="J45" s="560">
        <f t="shared" si="10"/>
        <v>292490.53742445412</v>
      </c>
      <c r="K45" s="560"/>
      <c r="L45" s="560">
        <f t="shared" si="7"/>
        <v>-1435178.0767287826</v>
      </c>
      <c r="M45" s="567"/>
      <c r="N45" s="568"/>
    </row>
    <row r="46" spans="1:14">
      <c r="A46" s="400">
        <f t="shared" si="0"/>
        <v>40</v>
      </c>
      <c r="B46" s="536" t="s">
        <v>303</v>
      </c>
      <c r="C46" s="559">
        <v>2023</v>
      </c>
      <c r="D46" s="536"/>
      <c r="E46" s="545">
        <f t="shared" si="8"/>
        <v>1435178.0767287826</v>
      </c>
      <c r="F46" s="545"/>
      <c r="G46" s="561">
        <f t="shared" si="9"/>
        <v>6.3083333333333333E-3</v>
      </c>
      <c r="H46" s="536"/>
      <c r="I46" s="560">
        <f t="shared" si="6"/>
        <v>-9053.581700697403</v>
      </c>
      <c r="J46" s="560">
        <f t="shared" si="10"/>
        <v>292490.53742445412</v>
      </c>
      <c r="K46" s="560"/>
      <c r="L46" s="560">
        <f t="shared" si="7"/>
        <v>-1151741.1210050257</v>
      </c>
      <c r="M46" s="567"/>
      <c r="N46" s="568"/>
    </row>
    <row r="47" spans="1:14">
      <c r="A47" s="400">
        <f t="shared" si="0"/>
        <v>41</v>
      </c>
      <c r="B47" s="536" t="s">
        <v>304</v>
      </c>
      <c r="C47" s="559">
        <v>2023</v>
      </c>
      <c r="D47" s="536"/>
      <c r="E47" s="545">
        <f t="shared" si="8"/>
        <v>1151741.1210050257</v>
      </c>
      <c r="F47" s="545"/>
      <c r="G47" s="561">
        <f t="shared" si="9"/>
        <v>6.3083333333333333E-3</v>
      </c>
      <c r="H47" s="536"/>
      <c r="I47" s="560">
        <f t="shared" si="6"/>
        <v>-7265.5669050067036</v>
      </c>
      <c r="J47" s="560">
        <f t="shared" si="10"/>
        <v>292490.53742445412</v>
      </c>
      <c r="K47" s="560"/>
      <c r="L47" s="560">
        <f t="shared" si="7"/>
        <v>-866516.15048557834</v>
      </c>
      <c r="M47" s="567"/>
      <c r="N47" s="568"/>
    </row>
    <row r="48" spans="1:14">
      <c r="A48" s="400">
        <f t="shared" si="0"/>
        <v>42</v>
      </c>
      <c r="B48" s="536" t="s">
        <v>311</v>
      </c>
      <c r="C48" s="559">
        <v>2023</v>
      </c>
      <c r="D48" s="536"/>
      <c r="E48" s="545">
        <f t="shared" si="8"/>
        <v>866516.15048557834</v>
      </c>
      <c r="F48" s="545"/>
      <c r="G48" s="561">
        <f t="shared" si="9"/>
        <v>6.3083333333333333E-3</v>
      </c>
      <c r="H48" s="536"/>
      <c r="I48" s="560">
        <f t="shared" si="6"/>
        <v>-5466.2727159798569</v>
      </c>
      <c r="J48" s="560">
        <f t="shared" si="10"/>
        <v>292490.53742445412</v>
      </c>
      <c r="K48" s="560"/>
      <c r="L48" s="560">
        <f t="shared" si="7"/>
        <v>-579491.88577710406</v>
      </c>
      <c r="M48" s="567"/>
      <c r="N48" s="568"/>
    </row>
    <row r="49" spans="1:14">
      <c r="A49" s="400">
        <f t="shared" si="0"/>
        <v>43</v>
      </c>
      <c r="B49" s="536" t="s">
        <v>306</v>
      </c>
      <c r="C49" s="559">
        <v>2023</v>
      </c>
      <c r="D49" s="536"/>
      <c r="E49" s="545">
        <f t="shared" si="8"/>
        <v>579491.88577710406</v>
      </c>
      <c r="F49" s="545"/>
      <c r="G49" s="561">
        <f t="shared" si="9"/>
        <v>6.3083333333333333E-3</v>
      </c>
      <c r="H49" s="536"/>
      <c r="I49" s="560">
        <f t="shared" si="6"/>
        <v>-3655.6279794438983</v>
      </c>
      <c r="J49" s="560">
        <f t="shared" si="10"/>
        <v>292490.53742445412</v>
      </c>
      <c r="K49" s="560"/>
      <c r="L49" s="560">
        <f t="shared" si="7"/>
        <v>-290656.97633209382</v>
      </c>
      <c r="M49" s="567"/>
      <c r="N49" s="568"/>
    </row>
    <row r="50" spans="1:14">
      <c r="A50" s="400">
        <f t="shared" si="0"/>
        <v>44</v>
      </c>
      <c r="B50" s="536" t="s">
        <v>293</v>
      </c>
      <c r="C50" s="559">
        <v>2023</v>
      </c>
      <c r="D50" s="536"/>
      <c r="E50" s="545">
        <f t="shared" si="8"/>
        <v>290656.97633209382</v>
      </c>
      <c r="F50" s="545"/>
      <c r="G50" s="561">
        <f t="shared" si="9"/>
        <v>6.3083333333333333E-3</v>
      </c>
      <c r="H50" s="536"/>
      <c r="I50" s="562">
        <f t="shared" si="6"/>
        <v>-1833.5610923616252</v>
      </c>
      <c r="J50" s="560">
        <f t="shared" si="10"/>
        <v>292490.53742445412</v>
      </c>
      <c r="K50" s="560"/>
      <c r="L50" s="560">
        <f t="shared" si="7"/>
        <v>-1.3387762010097504E-9</v>
      </c>
      <c r="M50" s="567"/>
      <c r="N50" s="568"/>
    </row>
    <row r="51" spans="1:14">
      <c r="A51" s="400">
        <f t="shared" si="0"/>
        <v>45</v>
      </c>
      <c r="B51" s="536"/>
      <c r="C51" s="536"/>
      <c r="D51" s="536"/>
      <c r="E51" s="545"/>
      <c r="F51" s="545"/>
      <c r="G51" s="561"/>
      <c r="H51" s="536"/>
      <c r="I51" s="560">
        <f>SUM(I39:I50)</f>
        <v>-139781.36512458447</v>
      </c>
      <c r="J51" s="560"/>
      <c r="K51" s="560"/>
      <c r="L51" s="560"/>
      <c r="M51" s="567"/>
      <c r="N51" s="568"/>
    </row>
    <row r="52" spans="1:14">
      <c r="A52" s="400">
        <f t="shared" si="0"/>
        <v>46</v>
      </c>
      <c r="M52" s="535"/>
    </row>
    <row r="53" spans="1:14">
      <c r="A53" s="400">
        <f t="shared" si="0"/>
        <v>47</v>
      </c>
      <c r="B53" s="536" t="s">
        <v>681</v>
      </c>
      <c r="J53" s="569">
        <f>SUM(J39:J50)*-1</f>
        <v>-3509886.4490934485</v>
      </c>
      <c r="M53" s="535"/>
    </row>
    <row r="54" spans="1:14">
      <c r="A54" s="400">
        <f t="shared" si="0"/>
        <v>48</v>
      </c>
      <c r="B54" s="536" t="s">
        <v>682</v>
      </c>
      <c r="J54" s="569">
        <f>+H10</f>
        <v>3009537.8278974481</v>
      </c>
      <c r="M54" s="535"/>
    </row>
    <row r="55" spans="1:14">
      <c r="A55" s="400">
        <f t="shared" si="0"/>
        <v>49</v>
      </c>
      <c r="B55" s="536" t="s">
        <v>683</v>
      </c>
      <c r="J55" s="569">
        <f>(J53+J54)</f>
        <v>-500348.62119600037</v>
      </c>
      <c r="M55" s="535"/>
    </row>
    <row r="56" spans="1:14">
      <c r="A56" s="400"/>
      <c r="B56" s="536"/>
      <c r="J56" s="569"/>
      <c r="M56" s="535"/>
    </row>
    <row r="57" spans="1:14">
      <c r="B57" s="536" t="s">
        <v>684</v>
      </c>
    </row>
    <row r="58" spans="1:14">
      <c r="B58" s="536" t="s">
        <v>685</v>
      </c>
      <c r="G58" s="570"/>
      <c r="J58" s="569"/>
    </row>
    <row r="59" spans="1:14">
      <c r="B59" s="536" t="s">
        <v>686</v>
      </c>
    </row>
    <row r="60" spans="1:14">
      <c r="B60" s="536" t="s">
        <v>687</v>
      </c>
      <c r="G60" s="570"/>
      <c r="J60" s="571"/>
    </row>
    <row r="61" spans="1:14">
      <c r="B61" s="536" t="s">
        <v>688</v>
      </c>
      <c r="E61" s="572"/>
      <c r="G61" s="570"/>
      <c r="J61" s="571"/>
    </row>
    <row r="62" spans="1:14">
      <c r="J62" s="572"/>
    </row>
    <row r="64" spans="1:14">
      <c r="B64" s="536"/>
    </row>
  </sheetData>
  <mergeCells count="4">
    <mergeCell ref="B1:L1"/>
    <mergeCell ref="B2:L2"/>
    <mergeCell ref="B3:L3"/>
    <mergeCell ref="B4:L4"/>
  </mergeCells>
  <pageMargins left="0.75" right="0.75" top="1" bottom="1" header="0.5" footer="0.5"/>
  <pageSetup scale="48" orientation="portrait"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84FC-F4D1-423E-ACF1-63C6D5B94F2F}">
  <dimension ref="A1:T156"/>
  <sheetViews>
    <sheetView view="pageBreakPreview" zoomScale="80" zoomScaleNormal="80" zoomScaleSheetLayoutView="80" workbookViewId="0">
      <selection activeCell="E117" sqref="E117"/>
    </sheetView>
  </sheetViews>
  <sheetFormatPr defaultColWidth="8.88671875" defaultRowHeight="15.75"/>
  <cols>
    <col min="1" max="1" width="5.5546875" style="473" customWidth="1"/>
    <col min="2" max="2" width="34.6640625" style="468" customWidth="1"/>
    <col min="3" max="3" width="10.5546875" style="473" bestFit="1" customWidth="1"/>
    <col min="4" max="4" width="9.88671875" style="473" bestFit="1" customWidth="1"/>
    <col min="5" max="5" width="16.109375" style="473" customWidth="1"/>
    <col min="6" max="6" width="12" style="473" customWidth="1"/>
    <col min="7" max="7" width="11.88671875" style="473" customWidth="1"/>
    <col min="8" max="8" width="12" style="573" customWidth="1"/>
    <col min="9" max="9" width="41.33203125" style="573" bestFit="1" customWidth="1"/>
    <col min="10" max="10" width="8.88671875" style="573"/>
    <col min="11" max="11" width="12" style="573" customWidth="1"/>
    <col min="12" max="12" width="12.88671875" style="573" customWidth="1"/>
    <col min="13" max="16384" width="8.88671875" style="573"/>
  </cols>
  <sheetData>
    <row r="1" spans="1:20" ht="18" customHeight="1">
      <c r="A1" s="921" t="s">
        <v>689</v>
      </c>
      <c r="B1" s="921"/>
      <c r="C1" s="921"/>
      <c r="D1" s="921"/>
      <c r="E1" s="921"/>
      <c r="F1" s="921"/>
      <c r="G1" s="921"/>
      <c r="H1" s="921"/>
      <c r="I1" s="921"/>
      <c r="J1" s="473"/>
      <c r="K1" s="473"/>
      <c r="L1" s="473"/>
    </row>
    <row r="2" spans="1:20" ht="18" customHeight="1">
      <c r="A2" s="922" t="str">
        <f>'Appendix III'!D7:D7</f>
        <v>Horizon West Transmission, LLC</v>
      </c>
      <c r="B2" s="922"/>
      <c r="C2" s="922"/>
      <c r="D2" s="922"/>
      <c r="E2" s="922"/>
      <c r="F2" s="922"/>
      <c r="G2" s="922"/>
      <c r="H2" s="922"/>
      <c r="I2" s="922"/>
      <c r="J2" s="481"/>
      <c r="K2" s="481"/>
      <c r="L2" s="481"/>
    </row>
    <row r="3" spans="1:20" ht="18" customHeight="1">
      <c r="A3" s="921" t="str">
        <f>'Appendix III'!M7</f>
        <v>For the 12 months ended 12/31/2025</v>
      </c>
      <c r="B3" s="921"/>
      <c r="C3" s="921"/>
      <c r="D3" s="921"/>
      <c r="E3" s="921"/>
      <c r="F3" s="921"/>
      <c r="G3" s="921"/>
      <c r="H3" s="941"/>
      <c r="I3" s="921"/>
      <c r="J3" s="473"/>
      <c r="K3" s="473"/>
      <c r="L3" s="473"/>
    </row>
    <row r="4" spans="1:20" ht="18" customHeight="1">
      <c r="A4" s="472"/>
      <c r="B4" s="472"/>
      <c r="C4" s="472"/>
      <c r="D4" s="472"/>
      <c r="E4" s="472"/>
      <c r="F4" s="472"/>
      <c r="G4" s="472"/>
      <c r="H4" s="472"/>
      <c r="I4" s="472"/>
      <c r="J4" s="473"/>
      <c r="K4" s="473"/>
      <c r="L4" s="473"/>
    </row>
    <row r="5" spans="1:20" ht="18">
      <c r="B5" s="472" t="s">
        <v>185</v>
      </c>
      <c r="C5" s="472"/>
      <c r="D5" s="574"/>
      <c r="E5" s="574" t="s">
        <v>187</v>
      </c>
      <c r="F5" s="574" t="s">
        <v>189</v>
      </c>
      <c r="G5" s="574" t="s">
        <v>192</v>
      </c>
      <c r="H5" s="574" t="s">
        <v>195</v>
      </c>
      <c r="I5" s="575"/>
    </row>
    <row r="6" spans="1:20">
      <c r="B6" s="573"/>
      <c r="C6" s="573"/>
      <c r="D6" s="573"/>
      <c r="E6" s="573"/>
      <c r="F6" s="573"/>
      <c r="G6" s="573"/>
      <c r="H6" s="574" t="s">
        <v>690</v>
      </c>
      <c r="I6" s="473"/>
      <c r="T6" s="574"/>
    </row>
    <row r="7" spans="1:20">
      <c r="A7" s="576" t="s">
        <v>691</v>
      </c>
      <c r="B7" s="576" t="s">
        <v>692</v>
      </c>
      <c r="C7" s="577"/>
      <c r="D7" s="578"/>
      <c r="E7" s="579" t="s">
        <v>386</v>
      </c>
      <c r="F7" s="579" t="s">
        <v>693</v>
      </c>
      <c r="G7" s="579" t="s">
        <v>694</v>
      </c>
      <c r="H7" s="579" t="s">
        <v>48</v>
      </c>
      <c r="I7" s="577"/>
      <c r="T7" s="574"/>
    </row>
    <row r="8" spans="1:20">
      <c r="B8" s="580"/>
      <c r="D8" s="573"/>
      <c r="H8" s="473"/>
      <c r="I8" s="473"/>
      <c r="L8" s="581"/>
    </row>
    <row r="9" spans="1:20" ht="20.25" customHeight="1">
      <c r="A9" s="473">
        <v>1</v>
      </c>
      <c r="B9" s="473" t="s">
        <v>695</v>
      </c>
      <c r="D9" s="573"/>
      <c r="E9" s="30">
        <f>F24</f>
        <v>-5679951.6729729641</v>
      </c>
      <c r="F9" s="30">
        <f>G24</f>
        <v>0</v>
      </c>
      <c r="G9" s="30">
        <f>H24</f>
        <v>0</v>
      </c>
      <c r="H9" s="30"/>
      <c r="I9" s="473" t="s">
        <v>696</v>
      </c>
    </row>
    <row r="10" spans="1:20" ht="20.25" customHeight="1">
      <c r="A10" s="473">
        <f t="shared" ref="A10:A16" si="0">+A9+1</f>
        <v>2</v>
      </c>
      <c r="B10" s="473" t="s">
        <v>697</v>
      </c>
      <c r="D10" s="573"/>
      <c r="E10" s="30">
        <f>F31</f>
        <v>-2680899.9005713928</v>
      </c>
      <c r="F10" s="30">
        <f>G31</f>
        <v>0</v>
      </c>
      <c r="G10" s="30">
        <f>H31</f>
        <v>0</v>
      </c>
      <c r="H10" s="30"/>
      <c r="I10" s="473" t="s">
        <v>698</v>
      </c>
    </row>
    <row r="11" spans="1:20" ht="20.25" customHeight="1">
      <c r="A11" s="473">
        <f t="shared" si="0"/>
        <v>3</v>
      </c>
      <c r="B11" s="473" t="s">
        <v>699</v>
      </c>
      <c r="D11" s="573"/>
      <c r="E11" s="30">
        <f>F38</f>
        <v>0</v>
      </c>
      <c r="F11" s="30">
        <f>G38</f>
        <v>0</v>
      </c>
      <c r="G11" s="30">
        <f>H38</f>
        <v>0</v>
      </c>
      <c r="H11" s="30"/>
      <c r="I11" s="473" t="s">
        <v>700</v>
      </c>
    </row>
    <row r="12" spans="1:20" ht="20.25" customHeight="1">
      <c r="A12" s="473">
        <f t="shared" si="0"/>
        <v>4</v>
      </c>
      <c r="B12" s="473" t="s">
        <v>701</v>
      </c>
      <c r="D12" s="573"/>
      <c r="E12" s="30">
        <f>SUM(E9:E11)</f>
        <v>-8360851.573544357</v>
      </c>
      <c r="F12" s="30">
        <f>SUM(F9:F11)</f>
        <v>0</v>
      </c>
      <c r="G12" s="30">
        <f>SUM(G9:G11)</f>
        <v>0</v>
      </c>
      <c r="H12" s="30"/>
      <c r="I12" s="582" t="s">
        <v>702</v>
      </c>
    </row>
    <row r="13" spans="1:20" ht="20.25" customHeight="1">
      <c r="A13" s="473">
        <f t="shared" si="0"/>
        <v>5</v>
      </c>
      <c r="B13" s="473" t="s">
        <v>703</v>
      </c>
      <c r="D13" s="573"/>
      <c r="G13" s="149">
        <v>0</v>
      </c>
      <c r="H13" s="473"/>
      <c r="I13" s="473" t="s">
        <v>529</v>
      </c>
    </row>
    <row r="14" spans="1:20" ht="20.25" customHeight="1">
      <c r="A14" s="473">
        <f t="shared" si="0"/>
        <v>6</v>
      </c>
      <c r="B14" s="473" t="s">
        <v>704</v>
      </c>
      <c r="D14" s="573"/>
      <c r="F14" s="583">
        <f>+'Appendix III'!H52</f>
        <v>0</v>
      </c>
      <c r="H14" s="473"/>
      <c r="I14" s="473" t="s">
        <v>705</v>
      </c>
    </row>
    <row r="15" spans="1:20" ht="20.25" customHeight="1">
      <c r="A15" s="473">
        <f t="shared" si="0"/>
        <v>7</v>
      </c>
      <c r="B15" s="473" t="s">
        <v>706</v>
      </c>
      <c r="D15" s="573"/>
      <c r="E15" s="583">
        <v>1</v>
      </c>
      <c r="F15" s="583"/>
      <c r="H15" s="473"/>
      <c r="I15" s="584">
        <v>1</v>
      </c>
    </row>
    <row r="16" spans="1:20" ht="20.25" customHeight="1">
      <c r="A16" s="473">
        <f t="shared" si="0"/>
        <v>8</v>
      </c>
      <c r="B16" s="473" t="s">
        <v>707</v>
      </c>
      <c r="D16" s="573"/>
      <c r="E16" s="30">
        <f>+E15*E12</f>
        <v>-8360851.573544357</v>
      </c>
      <c r="F16" s="30">
        <f>+F14*F12</f>
        <v>0</v>
      </c>
      <c r="G16" s="30">
        <f>+G13*G12</f>
        <v>0</v>
      </c>
      <c r="H16" s="30">
        <f>+E16+F16+G16</f>
        <v>-8360851.573544357</v>
      </c>
      <c r="I16" s="585" t="s">
        <v>708</v>
      </c>
    </row>
    <row r="17" spans="1:17">
      <c r="B17" s="473"/>
      <c r="D17" s="573"/>
      <c r="E17" s="30"/>
      <c r="F17" s="30"/>
      <c r="G17" s="30"/>
      <c r="H17" s="30"/>
      <c r="I17" s="585"/>
    </row>
    <row r="18" spans="1:17">
      <c r="B18" s="473"/>
      <c r="D18" s="582"/>
      <c r="G18" s="30"/>
      <c r="I18" s="574"/>
    </row>
    <row r="19" spans="1:17">
      <c r="B19" s="472" t="s">
        <v>173</v>
      </c>
      <c r="C19" s="472" t="s">
        <v>367</v>
      </c>
      <c r="D19" s="472" t="s">
        <v>709</v>
      </c>
      <c r="E19" s="472" t="s">
        <v>710</v>
      </c>
      <c r="F19" s="472" t="s">
        <v>711</v>
      </c>
      <c r="G19" s="574" t="s">
        <v>712</v>
      </c>
      <c r="H19" s="574" t="s">
        <v>713</v>
      </c>
      <c r="I19" s="574"/>
    </row>
    <row r="20" spans="1:17" ht="31.5">
      <c r="A20" s="586"/>
      <c r="B20" s="587" t="s">
        <v>714</v>
      </c>
      <c r="C20" s="587" t="s">
        <v>715</v>
      </c>
      <c r="D20" s="587" t="s">
        <v>291</v>
      </c>
      <c r="E20" s="587" t="s">
        <v>716</v>
      </c>
      <c r="F20" s="587" t="s">
        <v>386</v>
      </c>
      <c r="G20" s="587" t="s">
        <v>693</v>
      </c>
      <c r="H20" s="587" t="s">
        <v>694</v>
      </c>
      <c r="I20" s="587"/>
      <c r="Q20" s="574"/>
    </row>
    <row r="21" spans="1:17">
      <c r="A21" s="473" t="s">
        <v>717</v>
      </c>
      <c r="D21" s="472"/>
      <c r="E21" s="472"/>
      <c r="F21" s="472"/>
      <c r="G21" s="573"/>
      <c r="Q21" s="574"/>
    </row>
    <row r="22" spans="1:17" ht="20.25" customHeight="1">
      <c r="A22" s="580">
        <f>A16+1</f>
        <v>9</v>
      </c>
      <c r="B22" s="468" t="s">
        <v>718</v>
      </c>
      <c r="C22" s="473" t="s">
        <v>293</v>
      </c>
      <c r="D22" s="588">
        <v>2024</v>
      </c>
      <c r="E22" s="30">
        <f>'6c- ADIT BOY'!C54</f>
        <v>-5348195.9196760003</v>
      </c>
      <c r="F22" s="30">
        <f>'6c- ADIT BOY'!E54</f>
        <v>-5348195.9196760003</v>
      </c>
      <c r="G22" s="30">
        <f>'6c- ADIT BOY'!F54</f>
        <v>0</v>
      </c>
      <c r="H22" s="30">
        <f>'6c- ADIT BOY'!G54</f>
        <v>0</v>
      </c>
      <c r="I22" s="589"/>
    </row>
    <row r="23" spans="1:17" ht="20.25" customHeight="1">
      <c r="A23" s="580">
        <f>A22+1</f>
        <v>10</v>
      </c>
      <c r="B23" s="468" t="s">
        <v>719</v>
      </c>
      <c r="C23" s="473" t="s">
        <v>293</v>
      </c>
      <c r="D23" s="588">
        <v>2025</v>
      </c>
      <c r="E23" s="30">
        <f>'6d- ADIT EOY'!C54-'6d- ADIT EOY'!C50</f>
        <v>0</v>
      </c>
      <c r="F23" s="30">
        <f>'6d- ADIT EOY'!E54-'6d- ADIT EOY'!E50</f>
        <v>0</v>
      </c>
      <c r="G23" s="30">
        <f>'6d- ADIT EOY'!F54-'6d- ADIT EOY'!F50</f>
        <v>0</v>
      </c>
      <c r="H23" s="30">
        <f>'6d- ADIT EOY'!G50</f>
        <v>0</v>
      </c>
      <c r="I23" s="589"/>
    </row>
    <row r="24" spans="1:17" ht="20.25" customHeight="1">
      <c r="A24" s="580">
        <f t="shared" ref="A24:A25" si="1">A23+1</f>
        <v>11</v>
      </c>
      <c r="B24" s="468" t="s">
        <v>720</v>
      </c>
      <c r="C24" s="473" t="s">
        <v>293</v>
      </c>
      <c r="D24" s="588">
        <f>D23</f>
        <v>2025</v>
      </c>
      <c r="E24" s="30">
        <f>+'6b-ADIT Projection Proration'!H22</f>
        <v>-5679951.6729729641</v>
      </c>
      <c r="F24" s="30">
        <f>'6b-ADIT Projection Proration'!H22</f>
        <v>-5679951.6729729641</v>
      </c>
      <c r="G24" s="30">
        <f>'6b-ADIT Projection Proration'!J22</f>
        <v>0</v>
      </c>
      <c r="H24" s="30">
        <f>'6b-ADIT Projection Proration'!L22</f>
        <v>0</v>
      </c>
      <c r="I24" s="589"/>
    </row>
    <row r="25" spans="1:17">
      <c r="A25" s="580">
        <f t="shared" si="1"/>
        <v>12</v>
      </c>
      <c r="B25" s="468" t="s">
        <v>721</v>
      </c>
      <c r="E25" s="476">
        <f>E23+E24</f>
        <v>-5679951.6729729641</v>
      </c>
      <c r="F25" s="476">
        <f>F23+F24</f>
        <v>-5679951.6729729641</v>
      </c>
      <c r="G25" s="476">
        <f t="shared" ref="G25:H25" si="2">G23+G24</f>
        <v>0</v>
      </c>
      <c r="H25" s="476">
        <f t="shared" si="2"/>
        <v>0</v>
      </c>
      <c r="I25" s="583"/>
    </row>
    <row r="26" spans="1:17">
      <c r="A26" s="580"/>
      <c r="G26" s="573"/>
    </row>
    <row r="27" spans="1:17" ht="20.25" customHeight="1">
      <c r="A27" s="473" t="s">
        <v>722</v>
      </c>
      <c r="G27" s="573"/>
    </row>
    <row r="28" spans="1:17" ht="20.25" customHeight="1">
      <c r="A28" s="580">
        <f>A25+1</f>
        <v>13</v>
      </c>
      <c r="B28" s="468" t="s">
        <v>723</v>
      </c>
      <c r="C28" s="473" t="s">
        <v>293</v>
      </c>
      <c r="D28" s="588">
        <f>D22</f>
        <v>2024</v>
      </c>
      <c r="E28" s="30">
        <f>'6c- ADIT BOY'!C78</f>
        <v>-2960097.7625569953</v>
      </c>
      <c r="F28" s="30">
        <f>'6c- ADIT BOY'!E78</f>
        <v>-2960097.7625569953</v>
      </c>
      <c r="G28" s="30">
        <f>'6c- ADIT BOY'!F78</f>
        <v>0</v>
      </c>
      <c r="H28" s="30">
        <f>'6c- ADIT BOY'!G78</f>
        <v>0</v>
      </c>
      <c r="I28" s="589"/>
    </row>
    <row r="29" spans="1:17" ht="20.25" customHeight="1">
      <c r="A29" s="580">
        <f>A28+1</f>
        <v>14</v>
      </c>
      <c r="B29" s="468" t="s">
        <v>724</v>
      </c>
      <c r="C29" s="473" t="s">
        <v>293</v>
      </c>
      <c r="D29" s="588">
        <f t="shared" ref="D29:D30" si="3">D23</f>
        <v>2025</v>
      </c>
      <c r="E29" s="30">
        <f>'6d- ADIT EOY'!C78-'6d- ADIT EOY'!C74</f>
        <v>-2680899.9005713928</v>
      </c>
      <c r="F29" s="30">
        <f>'6d- ADIT EOY'!E78-'6d- ADIT EOY'!E74</f>
        <v>-2680899.9005713928</v>
      </c>
      <c r="G29" s="30">
        <f>'6d- ADIT EOY'!F78-'6d- ADIT EOY'!F74</f>
        <v>0</v>
      </c>
      <c r="H29" s="30">
        <f>'6d- ADIT EOY'!G74</f>
        <v>0</v>
      </c>
      <c r="I29" s="589"/>
    </row>
    <row r="30" spans="1:17" ht="20.25" customHeight="1">
      <c r="A30" s="580">
        <f>A29+1</f>
        <v>15</v>
      </c>
      <c r="B30" s="468" t="s">
        <v>725</v>
      </c>
      <c r="C30" s="473" t="s">
        <v>293</v>
      </c>
      <c r="D30" s="588">
        <f t="shared" si="3"/>
        <v>2025</v>
      </c>
      <c r="E30" s="590">
        <v>0</v>
      </c>
      <c r="F30" s="590">
        <v>0</v>
      </c>
      <c r="G30" s="30">
        <f>'6b-ADIT Projection Proration'!J38</f>
        <v>0</v>
      </c>
      <c r="H30" s="30">
        <f>'6b-ADIT Projection Proration'!L38</f>
        <v>0</v>
      </c>
      <c r="I30" s="589"/>
    </row>
    <row r="31" spans="1:17" ht="20.25" customHeight="1">
      <c r="A31" s="580">
        <f>A30+1</f>
        <v>16</v>
      </c>
      <c r="B31" s="468" t="s">
        <v>726</v>
      </c>
      <c r="E31" s="476">
        <f>E29+E30</f>
        <v>-2680899.9005713928</v>
      </c>
      <c r="F31" s="476">
        <f>F29+F30</f>
        <v>-2680899.9005713928</v>
      </c>
      <c r="G31" s="476">
        <f t="shared" ref="G31:H31" si="4">G29+G30</f>
        <v>0</v>
      </c>
      <c r="H31" s="476">
        <f t="shared" si="4"/>
        <v>0</v>
      </c>
      <c r="I31" s="591"/>
    </row>
    <row r="32" spans="1:17">
      <c r="A32" s="580"/>
      <c r="G32" s="573"/>
    </row>
    <row r="33" spans="1:9">
      <c r="A33" s="473" t="s">
        <v>699</v>
      </c>
      <c r="G33" s="573"/>
    </row>
    <row r="34" spans="1:9" ht="20.25" customHeight="1">
      <c r="A34" s="580">
        <f>A31+1</f>
        <v>17</v>
      </c>
      <c r="B34" s="468" t="s">
        <v>727</v>
      </c>
      <c r="C34" s="473" t="s">
        <v>293</v>
      </c>
      <c r="D34" s="588">
        <f>D28</f>
        <v>2024</v>
      </c>
      <c r="E34" s="30">
        <f>'6c- ADIT BOY'!C32</f>
        <v>0</v>
      </c>
      <c r="F34" s="30">
        <f>'6c- ADIT BOY'!E32</f>
        <v>0</v>
      </c>
      <c r="G34" s="30">
        <f>'6c- ADIT BOY'!F32</f>
        <v>0</v>
      </c>
      <c r="H34" s="30">
        <f>'6c- ADIT BOY'!G32</f>
        <v>0</v>
      </c>
      <c r="I34" s="589"/>
    </row>
    <row r="35" spans="1:9" ht="20.25" customHeight="1">
      <c r="A35" s="580">
        <f>A34+1</f>
        <v>18</v>
      </c>
      <c r="B35" s="468" t="s">
        <v>728</v>
      </c>
      <c r="C35" s="473" t="s">
        <v>293</v>
      </c>
      <c r="D35" s="588">
        <f t="shared" ref="D35:D36" si="5">D29</f>
        <v>2025</v>
      </c>
      <c r="E35" s="30">
        <f>'6d- ADIT EOY'!C32-'6d- ADIT EOY'!C28</f>
        <v>0</v>
      </c>
      <c r="F35" s="30">
        <f>'6d- ADIT EOY'!E32-'6d- ADIT EOY'!E28</f>
        <v>0</v>
      </c>
      <c r="G35" s="30">
        <f>'6d- ADIT EOY'!F32-'6d- ADIT EOY'!F28</f>
        <v>0</v>
      </c>
      <c r="H35" s="30">
        <f>'6d- ADIT EOY'!G28</f>
        <v>0</v>
      </c>
      <c r="I35" s="589"/>
    </row>
    <row r="36" spans="1:9" ht="20.25" customHeight="1">
      <c r="A36" s="580">
        <f>A35+1</f>
        <v>19</v>
      </c>
      <c r="B36" s="468" t="s">
        <v>729</v>
      </c>
      <c r="C36" s="473" t="s">
        <v>293</v>
      </c>
      <c r="D36" s="588">
        <f t="shared" si="5"/>
        <v>2025</v>
      </c>
      <c r="E36" s="30">
        <f>'6b-ADIT Projection Proration'!F54</f>
        <v>0</v>
      </c>
      <c r="F36" s="30">
        <f>'6b-ADIT Projection Proration'!H54</f>
        <v>0</v>
      </c>
      <c r="G36" s="30">
        <f>'6b-ADIT Projection Proration'!J54</f>
        <v>0</v>
      </c>
      <c r="H36" s="30">
        <f>'6b-ADIT Projection Proration'!L54</f>
        <v>0</v>
      </c>
      <c r="I36" s="589"/>
    </row>
    <row r="37" spans="1:9" ht="20.25" customHeight="1">
      <c r="A37" s="580">
        <f>A36+1</f>
        <v>20</v>
      </c>
      <c r="B37" s="468" t="s">
        <v>730</v>
      </c>
      <c r="E37" s="476">
        <f>E35+E36</f>
        <v>0</v>
      </c>
      <c r="F37" s="30">
        <f t="shared" ref="F37:H37" si="6">F35+F36</f>
        <v>0</v>
      </c>
      <c r="G37" s="30">
        <f t="shared" si="6"/>
        <v>0</v>
      </c>
      <c r="H37" s="30">
        <f t="shared" si="6"/>
        <v>0</v>
      </c>
      <c r="I37" s="591"/>
    </row>
    <row r="38" spans="1:9">
      <c r="B38" s="473"/>
      <c r="G38" s="573"/>
    </row>
    <row r="39" spans="1:9">
      <c r="B39" s="473"/>
      <c r="G39" s="573"/>
    </row>
    <row r="40" spans="1:9">
      <c r="D40" s="380"/>
    </row>
    <row r="41" spans="1:9">
      <c r="D41" s="380"/>
    </row>
    <row r="42" spans="1:9">
      <c r="D42" s="380"/>
    </row>
    <row r="43" spans="1:9">
      <c r="D43" s="380"/>
    </row>
    <row r="44" spans="1:9">
      <c r="D44" s="380"/>
    </row>
    <row r="45" spans="1:9">
      <c r="D45" s="380"/>
    </row>
    <row r="46" spans="1:9">
      <c r="D46" s="380"/>
    </row>
    <row r="47" spans="1:9">
      <c r="D47" s="380"/>
    </row>
    <row r="48" spans="1:9">
      <c r="D48" s="380"/>
    </row>
    <row r="49" spans="2:10">
      <c r="D49" s="380"/>
    </row>
    <row r="50" spans="2:10">
      <c r="B50" s="473"/>
      <c r="D50" s="380"/>
    </row>
    <row r="51" spans="2:10">
      <c r="D51" s="380"/>
    </row>
    <row r="52" spans="2:10">
      <c r="B52" s="473"/>
      <c r="D52" s="380"/>
    </row>
    <row r="64" spans="2:10">
      <c r="J64" s="473"/>
    </row>
    <row r="156" spans="8:8">
      <c r="H156" s="592"/>
    </row>
  </sheetData>
  <mergeCells count="3">
    <mergeCell ref="A1:I1"/>
    <mergeCell ref="A2:I2"/>
    <mergeCell ref="A3:I3"/>
  </mergeCells>
  <pageMargins left="0.7" right="0.7" top="0.75" bottom="0.75" header="0.3" footer="0.3"/>
  <pageSetup scale="4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vt:i4>
      </vt:variant>
    </vt:vector>
  </HeadingPairs>
  <TitlesOfParts>
    <vt:vector size="30"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6a- ADIT</vt:lpstr>
      <vt:lpstr>6b- ADIT</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'4 - Cap Adds'!Print_Area</vt:lpstr>
      <vt:lpstr>'6c- ADIT BOY'!Print_Area</vt:lpstr>
      <vt:lpstr>'6d- ADIT EOY'!Print_Area</vt:lpstr>
      <vt:lpstr>'7 - Unfunded Reserves'!Print_Area</vt:lpstr>
      <vt:lpstr>'8 - CWIP'!Print_Area</vt:lpstr>
      <vt:lpstr>'Appendix III'!Print_Area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Biswas, Fazle</dc:creator>
  <cp:lastModifiedBy>Fry, Meghan</cp:lastModifiedBy>
  <cp:lastPrinted>2024-09-27T13:52:39Z</cp:lastPrinted>
  <dcterms:created xsi:type="dcterms:W3CDTF">2024-09-27T13:34:40Z</dcterms:created>
  <dcterms:modified xsi:type="dcterms:W3CDTF">2024-09-27T19:07:56Z</dcterms:modified>
</cp:coreProperties>
</file>