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_Horizon West\Horizon West FERC Filings\Formula Rate Projections\2022 Formula Rate - Actuals for TU\"/>
    </mc:Choice>
  </mc:AlternateContent>
  <xr:revisionPtr revIDLastSave="0" documentId="13_ncr:1_{0DCDF3DC-EE18-440D-BE57-4981DFA44DC3}" xr6:coauthVersionLast="47" xr6:coauthVersionMax="47" xr10:uidLastSave="{00000000-0000-0000-0000-000000000000}"/>
  <bookViews>
    <workbookView xWindow="-41388" yWindow="1704" windowWidth="41496" windowHeight="16896" tabRatio="786" xr2:uid="{9D8604F8-3525-4968-9AE2-4CA6A0182045}"/>
  </bookViews>
  <sheets>
    <sheet name="Appendix III" sheetId="1" r:id="rId1"/>
    <sheet name="1 - Revenue Credits" sheetId="2" r:id="rId2"/>
    <sheet name="2 - Cost Support " sheetId="3" r:id="rId3"/>
    <sheet name="2a - Cost Support" sheetId="4" r:id="rId4"/>
    <sheet name="2b - Cost Support" sheetId="5" r:id="rId5"/>
    <sheet name="3 - Incentives" sheetId="6" r:id="rId6"/>
    <sheet name="4 - Cap Adds" sheetId="7" r:id="rId7"/>
    <sheet name="5 - True-Up" sheetId="8" r:id="rId8"/>
    <sheet name="6a-ADIT Projection" sheetId="9" r:id="rId9"/>
    <sheet name="6b-ADIT Projection Proration" sheetId="10" r:id="rId10"/>
    <sheet name="6c- ADIT BOY" sheetId="11" r:id="rId11"/>
    <sheet name="6d- ADIT EOY" sheetId="12" r:id="rId12"/>
    <sheet name="6e-ADIT True-up" sheetId="13" r:id="rId13"/>
    <sheet name="6f-ADIT True-up Proration" sheetId="14" r:id="rId14"/>
    <sheet name="7 - Unfunded Reserves" sheetId="15" r:id="rId15"/>
    <sheet name="8 - CWIP" sheetId="16" r:id="rId16"/>
    <sheet name="9- Depreciation Rates" sheetId="17" r:id="rId17"/>
    <sheet name="10 - Future Use" sheetId="18" r:id="rId18"/>
    <sheet name="11 - Reg. Assets and Abnd Plnt" sheetId="19" r:id="rId19"/>
    <sheet name="12 - Income Tax Adjustment" sheetId="20" r:id="rId20"/>
  </sheets>
  <definedNames>
    <definedName name="\sdf"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sdf"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123Graph_A" hidden="1">#REF!</definedName>
    <definedName name="__123Graph_B" hidden="1">#REF!</definedName>
    <definedName name="__123Graph_C" hidden="1">#REF!</definedName>
    <definedName name="__123Graph_E" hidden="1">#REF!</definedName>
    <definedName name="__123Graph_X" hidden="1">#REF!</definedName>
    <definedName name="__WSH7">#REF!</definedName>
    <definedName name="_101__123Graph_BCHART_2" hidden="1">#REF!</definedName>
    <definedName name="_104__123Graph_BCHART_20" hidden="1">#REF!</definedName>
    <definedName name="_107__123Graph_BCHART_3" hidden="1">#REF!</definedName>
    <definedName name="_110__123Graph_BCHART_6" hidden="1">#REF!</definedName>
    <definedName name="_113__123Graph_BCHART_7" hidden="1">#REF!</definedName>
    <definedName name="_116__123Graph_BCHART_8" hidden="1">#REF!</definedName>
    <definedName name="_119__123Graph_BCHART_9" hidden="1">#REF!</definedName>
    <definedName name="_122__123Graph_CCHART_1" hidden="1">#REF!</definedName>
    <definedName name="_125__123Graph_CCHART_11" hidden="1">#REF!</definedName>
    <definedName name="_128__123Graph_CCHART_12" hidden="1">#REF!</definedName>
    <definedName name="_131__123Graph_CCHART_2" hidden="1">#REF!</definedName>
    <definedName name="_134__123Graph_CCHART_20" hidden="1">#REF!</definedName>
    <definedName name="_137__123Graph_CCHART_7" hidden="1">#REF!</definedName>
    <definedName name="_140__123Graph_CCHART_8" hidden="1">#REF!</definedName>
    <definedName name="_143__123Graph_DCHART_1" hidden="1">#REF!</definedName>
    <definedName name="_146__123Graph_DCHART_12" hidden="1">#REF!</definedName>
    <definedName name="_149__123Graph_DCHART_2" hidden="1">#REF!</definedName>
    <definedName name="_152__123Graph_DCHART_8" hidden="1">#REF!</definedName>
    <definedName name="_155__123Graph_ECHART_12" hidden="1">#REF!</definedName>
    <definedName name="_158__123Graph_ECHART_2" hidden="1">#REF!</definedName>
    <definedName name="_161__123Graph_ECHART_8" hidden="1">#REF!</definedName>
    <definedName name="_164__123Graph_FCHART_1" hidden="1">#REF!</definedName>
    <definedName name="_167__123Graph_XCHART_10" hidden="1">#REF!</definedName>
    <definedName name="_17__123Graph_ACHART_1" hidden="1">#REF!</definedName>
    <definedName name="_170__123Graph_XCHART_11" hidden="1">#REF!</definedName>
    <definedName name="_173__123Graph_XCHART_12" hidden="1">#REF!</definedName>
    <definedName name="_176__123Graph_XCHART_13" hidden="1">#REF!</definedName>
    <definedName name="_179__123Graph_XCHART_14" hidden="1">#REF!</definedName>
    <definedName name="_182__123Graph_XCHART_15" hidden="1">#REF!</definedName>
    <definedName name="_185__123Graph_XCHART_16" hidden="1">#REF!</definedName>
    <definedName name="_188__123Graph_XCHART_18" hidden="1">#REF!</definedName>
    <definedName name="_191__123Graph_XCHART_2" hidden="1">#REF!</definedName>
    <definedName name="_194__123Graph_XCHART_20" hidden="1">#REF!</definedName>
    <definedName name="_197__123Graph_XCHART_3" hidden="1">#REF!</definedName>
    <definedName name="_1E_1">#N/A</definedName>
    <definedName name="_20__123Graph_ACHART_10" hidden="1">#REF!</definedName>
    <definedName name="_200__123Graph_XCHART_4" hidden="1">#REF!</definedName>
    <definedName name="_203__123Graph_XCHART_5" hidden="1">#REF!</definedName>
    <definedName name="_206__123Graph_XCHART_6" hidden="1">#REF!</definedName>
    <definedName name="_209__123Graph_XCHART_7" hidden="1">#REF!</definedName>
    <definedName name="_212__123Graph_XCHART_8" hidden="1">#REF!</definedName>
    <definedName name="_215__123Graph_XCHART_9" hidden="1">#REF!</definedName>
    <definedName name="_23__123Graph_ACHART_11" hidden="1">#REF!</definedName>
    <definedName name="_26__123Graph_ACHART_12" hidden="1">#REF!</definedName>
    <definedName name="_29__123Graph_ACHART_13" hidden="1">#REF!</definedName>
    <definedName name="_31_Dec_00" localSheetId="19">#REF!</definedName>
    <definedName name="_31_Dec_00">#REF!</definedName>
    <definedName name="_31_Jan_01" localSheetId="19">#REF!</definedName>
    <definedName name="_31_Jan_01">#REF!</definedName>
    <definedName name="_32__123Graph_ACHART_14" hidden="1">#REF!</definedName>
    <definedName name="_35__123Graph_ACHART_15" hidden="1">#REF!</definedName>
    <definedName name="_38__123Graph_ACHART_16" hidden="1">#REF!</definedName>
    <definedName name="_41__123Graph_ACHART_17" hidden="1">#REF!</definedName>
    <definedName name="_44__123Graph_ACHART_18" hidden="1">#REF!</definedName>
    <definedName name="_47__123Graph_ACHART_19" hidden="1">#REF!</definedName>
    <definedName name="_50__123Graph_ACHART_2" hidden="1">#REF!</definedName>
    <definedName name="_53__123Graph_ACHART_20" hidden="1">#REF!</definedName>
    <definedName name="_56__123Graph_ACHART_3" hidden="1">#REF!</definedName>
    <definedName name="_59__123Graph_ACHART_4" hidden="1">#REF!</definedName>
    <definedName name="_62__123Graph_ACHART_5" hidden="1">#REF!</definedName>
    <definedName name="_65__123Graph_ACHART_6" hidden="1">#REF!</definedName>
    <definedName name="_68__123Graph_ACHART_7" hidden="1">#REF!</definedName>
    <definedName name="_71__123Graph_ACHART_8" hidden="1">#REF!</definedName>
    <definedName name="_74__123Graph_ACHART_9" hidden="1">#REF!</definedName>
    <definedName name="_77__123Graph_BCHART_1" hidden="1">#REF!</definedName>
    <definedName name="_80__123Graph_BCHART_11" hidden="1">#REF!</definedName>
    <definedName name="_83__123Graph_BCHART_12" hidden="1">#REF!</definedName>
    <definedName name="_86__123Graph_BCHART_13" hidden="1">#REF!</definedName>
    <definedName name="_89__123Graph_BCHART_14" hidden="1">#REF!</definedName>
    <definedName name="_92__123Graph_BCHART_15" hidden="1">#REF!</definedName>
    <definedName name="_95__123Graph_BCHART_16" hidden="1">#REF!</definedName>
    <definedName name="_98__123Graph_BCHART_17" hidden="1">#REF!</definedName>
    <definedName name="_AMO_UniqueIdentifier" hidden="1">"'8403d099-e876-4d31-b913-cb2efff0232f'"</definedName>
    <definedName name="_BB1"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BB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Fill" localSheetId="19" hidden="1">#REF!</definedName>
    <definedName name="_Fill" localSheetId="8" hidden="1">#REF!</definedName>
    <definedName name="_Fill" localSheetId="9" hidden="1">#REF!</definedName>
    <definedName name="_Fill" localSheetId="12" hidden="1">#REF!</definedName>
    <definedName name="_Fill" localSheetId="13" hidden="1">#REF!</definedName>
    <definedName name="_Fill" hidden="1">#REF!</definedName>
    <definedName name="_xlnm._FilterDatabase" hidden="1">#REF!</definedName>
    <definedName name="_Key1" hidden="1">#REF!</definedName>
    <definedName name="_Key2" hidden="1">#REF!</definedName>
    <definedName name="_Order1" hidden="1">255</definedName>
    <definedName name="_Order2" hidden="1">255</definedName>
    <definedName name="_Q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Regression_Int">1</definedName>
    <definedName name="_Regression_Out" hidden="1">#REF!</definedName>
    <definedName name="_Regression_X" hidden="1">#REF!</definedName>
    <definedName name="_Regression_Y" hidden="1">#REF!</definedName>
    <definedName name="_Sort" hidden="1">#REF!</definedName>
    <definedName name="_Table1_Out" hidden="1">#REF!</definedName>
    <definedName name="_te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3"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3"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te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wrn1" localSheetId="19" hidden="1">{#N/A,#N/A,FALSE,"MBR PCS";#N/A,#N/A,FALSE,"MBR CIG";#N/A,#N/A,FALSE,"MBR iDEN";#N/A,#N/A,FALSE,"MBR_FWT";#N/A,#N/A,FALSE,"MBR TOTAL"}</definedName>
    <definedName name="_wrn1" hidden="1">{#N/A,#N/A,FALSE,"MBR PCS";#N/A,#N/A,FALSE,"MBR CIG";#N/A,#N/A,FALSE,"MBR iDEN";#N/A,#N/A,FALSE,"MBR_FWT";#N/A,#N/A,FALSE,"MBR TOTAL"}</definedName>
    <definedName name="_WSH7">#REF!</definedName>
    <definedName name="_xx" hidden="1">#REF!</definedName>
    <definedName name="aaa" localSheetId="19" hidden="1">{#N/A,#N/A,FALSE,"O&amp;M by processes";#N/A,#N/A,FALSE,"Elec Act vs Bud";#N/A,#N/A,FALSE,"G&amp;A";#N/A,#N/A,FALSE,"BGS";#N/A,#N/A,FALSE,"Res Cost"}</definedName>
    <definedName name="aaa" localSheetId="13"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19" hidden="1">{#N/A,#N/A,FALSE,"O&amp;M by processes";#N/A,#N/A,FALSE,"Elec Act vs Bud";#N/A,#N/A,FALSE,"G&amp;A";#N/A,#N/A,FALSE,"BGS";#N/A,#N/A,FALSE,"Res Cost"}</definedName>
    <definedName name="aaaaaaaaaaaaaaa" localSheetId="13" hidden="1">{#N/A,#N/A,FALSE,"O&amp;M by processes";#N/A,#N/A,FALSE,"Elec Act vs Bud";#N/A,#N/A,FALSE,"G&amp;A";#N/A,#N/A,FALSE,"BGS";#N/A,#N/A,FALSE,"Res Cost"}</definedName>
    <definedName name="aaaaaaaaaaaaaaa" hidden="1">{#N/A,#N/A,FALSE,"O&amp;M by processes";#N/A,#N/A,FALSE,"Elec Act vs Bud";#N/A,#N/A,FALSE,"G&amp;A";#N/A,#N/A,FALSE,"BGS";#N/A,#N/A,FALSE,"Res Cost"}</definedName>
    <definedName name="ab"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ccount_List">#REF!</definedName>
    <definedName name="ACwvu.earnings." hidden="1">#REF!</definedName>
    <definedName name="ACwvu.OP." hidden="1">#REF!</definedName>
    <definedName name="adas" localSheetId="19" hidden="1">{#N/A,#N/A,FALSE,"Balance SPS";#N/A,#N/A,FALSE,"P&amp;L_SPS"}</definedName>
    <definedName name="adas" hidden="1">{#N/A,#N/A,FALSE,"Balance SPS";#N/A,#N/A,FALSE,"P&amp;L_SPS"}</definedName>
    <definedName name="adsfd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dsfd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g"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fd" localSheetId="19" hidden="1">{#N/A,#N/A,FALSE,"Balance SPS";#N/A,#N/A,FALSE,"P&amp;L_SPS"}</definedName>
    <definedName name="agfd" hidden="1">{#N/A,#N/A,FALSE,"Balance SPS";#N/A,#N/A,FALSE,"P&amp;L_SPS"}</definedName>
    <definedName name="Alignment" hidden="1">"a1"</definedName>
    <definedName name="anscount" hidden="1">1</definedName>
    <definedName name="a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 localSheetId="19" hidden="1">{#N/A,#N/A,FALSE,"BACK UP CIG"}</definedName>
    <definedName name="as" hidden="1">{#N/A,#N/A,FALSE,"BACK UP CIG"}</definedName>
    <definedName name="AS2DocOpenMode" hidden="1">"AS2DocumentEdit"</definedName>
    <definedName name="asa"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d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d" localSheetId="19" hidden="1">{#N/A,#N/A,FALSE,"MBR PCS";#N/A,#N/A,FALSE,"MBR CIG";#N/A,#N/A,FALSE,"MBR iDEN";#N/A,#N/A,FALSE,"MBR_FWT";#N/A,#N/A,FALSE,"MBR TOTAL"}</definedName>
    <definedName name="asdad" hidden="1">{#N/A,#N/A,FALSE,"MBR PCS";#N/A,#N/A,FALSE,"MBR CIG";#N/A,#N/A,FALSE,"MBR iDEN";#N/A,#N/A,FALSE,"MBR_FWT";#N/A,#N/A,FALSE,"MBR TOTAL"}</definedName>
    <definedName name="asdaf"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f"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s"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d"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as" localSheetId="19" hidden="1">{#N/A,#N/A,FALSE,"Headcount_PCS ";#N/A,#N/A,FALSE,"Headcount CIG";#N/A,#N/A,FALSE,"Headcount iDEN";#N/A,#N/A,FALSE,"JAG PLANT TREND"}</definedName>
    <definedName name="asdasdas" hidden="1">{#N/A,#N/A,FALSE,"Headcount_PCS ";#N/A,#N/A,FALSE,"Headcount CIG";#N/A,#N/A,FALSE,"Headcount iDEN";#N/A,#N/A,FALSE,"JAG PLANT TREND"}</definedName>
    <definedName name="ASDF" localSheetId="19" hidden="1">{TRUE,TRUE,-1.25,-15.5,604.5,343.5,FALSE,FALSE,TRUE,TRUE,0,1,2,1,13,1,4,4,TRUE,TRUE,3,TRUE,1,TRUE,80,"Swvu.qtr._.for._.IR.","ACwvu.qtr._.for._.IR.",#N/A,FALSE,FALSE,0.65,0.5,1.25,1,2,"","",TRUE,FALSE,FALSE,FALSE,1,#N/A,1,1,"=R1C1:R33C11",FALSE,#N/A,#N/A,FALSE,FALSE,FALSE,1,#N/A,#N/A,FALSE,FALSE,TRUE,TRUE,TRUE}</definedName>
    <definedName name="ASDF" hidden="1">{TRUE,TRUE,-1.25,-15.5,604.5,343.5,FALSE,FALSE,TRUE,TRUE,0,1,2,1,13,1,4,4,TRUE,TRUE,3,TRUE,1,TRUE,80,"Swvu.qtr._.for._.IR.","ACwvu.qtr._.for._.IR.",#N/A,FALSE,FALSE,0.65,0.5,1.25,1,2,"","",TRUE,FALSE,FALSE,FALSE,1,#N/A,1,1,"=R1C1:R33C11",FALSE,#N/A,#N/A,FALSE,FALSE,FALSE,1,#N/A,#N/A,FALSE,FALSE,TRUE,TRUE,TRUE}</definedName>
    <definedName name="asdfadsf" localSheetId="19" hidden="1">{TRUE,TRUE,-1.25,-15.5,604.5,343.5,FALSE,FALSE,TRUE,TRUE,0,1,2,1,13,1,4,4,TRUE,TRUE,3,TRUE,1,TRUE,80,"Swvu.qtr._.for._.IR.","ACwvu.qtr._.for._.IR.",#N/A,FALSE,FALSE,0.65,0.5,1.25,1,2,"","",TRUE,FALSE,FALSE,FALSE,1,#N/A,1,1,"=R1C1:R33C11",FALSE,#N/A,#N/A,FALSE,FALSE,FALSE,1,#N/A,#N/A,FALSE,FALSE,TRUE,TRUE,TRUE}</definedName>
    <definedName name="asdfadsf" hidden="1">{TRUE,TRUE,-1.25,-15.5,604.5,343.5,FALSE,FALSE,TRUE,TRUE,0,1,2,1,13,1,4,4,TRUE,TRUE,3,TRUE,1,TRUE,80,"Swvu.qtr._.for._.IR.","ACwvu.qtr._.for._.IR.",#N/A,FALSE,FALSE,0.65,0.5,1.25,1,2,"","",TRUE,FALSE,FALSE,FALSE,1,#N/A,1,1,"=R1C1:R33C11",FALSE,#N/A,#N/A,FALSE,FALSE,FALSE,1,#N/A,#N/A,FALSE,FALSE,TRUE,TRUE,TRUE}</definedName>
    <definedName name="asdgasd" localSheetId="19" hidden="1">{#N/A,#N/A,FALSE,"BS_ESG ";#N/A,#N/A,FALSE,"P&amp;L_ESG"}</definedName>
    <definedName name="asdgasd" hidden="1">{#N/A,#N/A,FALSE,"BS_ESG ";#N/A,#N/A,FALSE,"P&amp;L_ESG"}</definedName>
    <definedName name="asfda" localSheetId="19" hidden="1">{#N/A,#N/A,FALSE,"Cover";#N/A,#N/A,FALSE,"General Assumptions";#N/A,#N/A,FALSE,"Comments CIG";#N/A,#N/A,FALSE,"BS CIG";#N/A,#N/A,FALSE,"P&amp;L CIG";#N/A,#N/A,FALSE,"Cash Flow CIG";#N/A,#N/A,FALSE,"MBR CIG";#N/A,#N/A,FALSE,"Headcount - CIG";#N/A,#N/A,FALSE,"CIG MFG";#N/A,#N/A,FALSE,"CIG Inventory";#N/A,#N/A,FALSE,"Capital CIG"}</definedName>
    <definedName name="asfda" hidden="1">{#N/A,#N/A,FALSE,"Cover";#N/A,#N/A,FALSE,"General Assumptions";#N/A,#N/A,FALSE,"Comments CIG";#N/A,#N/A,FALSE,"BS CIG";#N/A,#N/A,FALSE,"P&amp;L CIG";#N/A,#N/A,FALSE,"Cash Flow CIG";#N/A,#N/A,FALSE,"MBR CIG";#N/A,#N/A,FALSE,"Headcount - CIG";#N/A,#N/A,FALSE,"CIG MFG";#N/A,#N/A,FALSE,"CIG Inventory";#N/A,#N/A,FALSE,"Capital CIG"}</definedName>
    <definedName name="awvrevrf"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alances" localSheetId="19">#REF!</definedName>
    <definedName name="Balances">#REF!</definedName>
    <definedName name="BB"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b" localSheetId="19" hidden="1">{#N/A,#N/A,FALSE,"O&amp;M by processes";#N/A,#N/A,FALSE,"Elec Act vs Bud";#N/A,#N/A,FALSE,"G&amp;A";#N/A,#N/A,FALSE,"BGS";#N/A,#N/A,FALSE,"Res Cost"}</definedName>
    <definedName name="bbb" localSheetId="13"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9" hidden="1">{#N/A,#N/A,FALSE,"O&amp;M by processes";#N/A,#N/A,FALSE,"Elec Act vs Bud";#N/A,#N/A,FALSE,"G&amp;A";#N/A,#N/A,FALSE,"BGS";#N/A,#N/A,FALSE,"Res Cost"}</definedName>
    <definedName name="bbbb" localSheetId="13"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9" hidden="1">{#N/A,#N/A,FALSE,"O&amp;M by processes";#N/A,#N/A,FALSE,"Elec Act vs Bud";#N/A,#N/A,FALSE,"G&amp;A";#N/A,#N/A,FALSE,"BGS";#N/A,#N/A,FALSE,"Res Cost"}</definedName>
    <definedName name="bbbbb" localSheetId="13"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9" hidden="1">{#N/A,#N/A,FALSE,"O&amp;M by processes";#N/A,#N/A,FALSE,"Elec Act vs Bud";#N/A,#N/A,FALSE,"G&amp;A";#N/A,#N/A,FALSE,"BGS";#N/A,#N/A,FALSE,"Res Cost"}</definedName>
    <definedName name="bbc" localSheetId="13" hidden="1">{#N/A,#N/A,FALSE,"O&amp;M by processes";#N/A,#N/A,FALSE,"Elec Act vs Bud";#N/A,#N/A,FALSE,"G&amp;A";#N/A,#N/A,FALSE,"BGS";#N/A,#N/A,FALSE,"Res Cost"}</definedName>
    <definedName name="bbc" hidden="1">{#N/A,#N/A,FALSE,"O&amp;M by processes";#N/A,#N/A,FALSE,"Elec Act vs Bud";#N/A,#N/A,FALSE,"G&amp;A";#N/A,#N/A,FALSE,"BGS";#N/A,#N/A,FALSE,"Res Cost"}</definedName>
    <definedName name="BNE_MESSAGES_HIDDEN" hidden="1">#REF!</definedName>
    <definedName name="Bridge" localSheetId="19" hidden="1">{"'Highlights'!$A$1:$M$123"}</definedName>
    <definedName name="Bridge" hidden="1">{"'Highlights'!$A$1:$M$123"}</definedName>
    <definedName name="BS_CDMA"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FW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an" localSheetId="19" hidden="1">{#N/A,#N/A,FALSE,"O&amp;M by processes";#N/A,#N/A,FALSE,"Elec Act vs Bud";#N/A,#N/A,FALSE,"G&amp;A";#N/A,#N/A,FALSE,"BGS";#N/A,#N/A,FALSE,"Res Cost"}</definedName>
    <definedName name="can" localSheetId="13" hidden="1">{#N/A,#N/A,FALSE,"O&amp;M by processes";#N/A,#N/A,FALSE,"Elec Act vs Bud";#N/A,#N/A,FALSE,"G&amp;A";#N/A,#N/A,FALSE,"BGS";#N/A,#N/A,FALSE,"Res Cost"}</definedName>
    <definedName name="can" hidden="1">{#N/A,#N/A,FALSE,"O&amp;M by processes";#N/A,#N/A,FALSE,"Elec Act vs Bud";#N/A,#N/A,FALSE,"G&amp;A";#N/A,#N/A,FALSE,"BGS";#N/A,#N/A,FALSE,"Res Cost"}</definedName>
    <definedName name="Cash"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cc" localSheetId="19" hidden="1">{#N/A,#N/A,FALSE,"O&amp;M by processes";#N/A,#N/A,FALSE,"Elec Act vs Bud";#N/A,#N/A,FALSE,"G&amp;A";#N/A,#N/A,FALSE,"BGS";#N/A,#N/A,FALSE,"Res Cost"}</definedName>
    <definedName name="ccc" localSheetId="13"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9" hidden="1">{#N/A,#N/A,FALSE,"O&amp;M by processes";#N/A,#N/A,FALSE,"Elec Act vs Bud";#N/A,#N/A,FALSE,"G&amp;A";#N/A,#N/A,FALSE,"BGS";#N/A,#N/A,FALSE,"Res Cost"}</definedName>
    <definedName name="cccc" localSheetId="13" hidden="1">{#N/A,#N/A,FALSE,"O&amp;M by processes";#N/A,#N/A,FALSE,"Elec Act vs Bud";#N/A,#N/A,FALSE,"G&amp;A";#N/A,#N/A,FALSE,"BGS";#N/A,#N/A,FALSE,"Res Cost"}</definedName>
    <definedName name="cccc" hidden="1">{#N/A,#N/A,FALSE,"O&amp;M by processes";#N/A,#N/A,FALSE,"Elec Act vs Bud";#N/A,#N/A,FALSE,"G&amp;A";#N/A,#N/A,FALSE,"BGS";#N/A,#N/A,FALSE,"Res Cost"}</definedName>
    <definedName name="Celestica4" localSheetId="19"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elestica4"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g"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H_COS" localSheetId="19">#REF!</definedName>
    <definedName name="CH_COS">#REF!</definedName>
    <definedName name="Charge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harg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IQWBGuid" hidden="1">"664e8547-71ec-4d5c-9f05-86b890428491"</definedName>
    <definedName name="ClientMatter" hidden="1">"b1"</definedName>
    <definedName name="cnrc2"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nrc2"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oCode0500">#REF!</definedName>
    <definedName name="Columns" localSheetId="19">#REF!</definedName>
    <definedName name="Columns">#REF!</definedName>
    <definedName name="com"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pany_id_valid_values">#REF!</definedName>
    <definedName name="CONOCO_FAC">#REF!</definedName>
    <definedName name="Consolid" localSheetId="19" hidden="1">{#N/A,#N/A,FALSE,"O&amp;M by processes";#N/A,#N/A,FALSE,"Elec Act vs Bud";#N/A,#N/A,FALSE,"G&amp;A";#N/A,#N/A,FALSE,"BGS";#N/A,#N/A,FALSE,"Res Cost"}</definedName>
    <definedName name="Consolid" localSheetId="13"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9" hidden="1">{#N/A,#N/A,FALSE,"O&amp;M by processes";#N/A,#N/A,FALSE,"Elec Act vs Bud";#N/A,#N/A,FALSE,"G&amp;A";#N/A,#N/A,FALSE,"BGS";#N/A,#N/A,FALSE,"Res Cost"}</definedName>
    <definedName name="Consolidated" localSheetId="13" hidden="1">{#N/A,#N/A,FALSE,"O&amp;M by processes";#N/A,#N/A,FALSE,"Elec Act vs Bud";#N/A,#N/A,FALSE,"G&amp;A";#N/A,#N/A,FALSE,"BGS";#N/A,#N/A,FALSE,"Res Cost"}</definedName>
    <definedName name="Consolidated" hidden="1">{#N/A,#N/A,FALSE,"O&amp;M by processes";#N/A,#N/A,FALSE,"Elec Act vs Bud";#N/A,#N/A,FALSE,"G&amp;A";#N/A,#N/A,FALSE,"BGS";#N/A,#N/A,FALSE,"Res Cost"}</definedName>
    <definedName name="cost" localSheetId="19" hidden="1">{#N/A,#N/A,FALSE,"By Month";#N/A,#N/A,FALSE,"Rev By Month";"Print1",#N/A,FALSE,"NA Parts Reporting";"Print2",#N/A,FALSE,"NA Parts Reporting";"Print3",#N/A,FALSE,"NA Parts Reporting"}</definedName>
    <definedName name="cost" hidden="1">{#N/A,#N/A,FALSE,"By Month";#N/A,#N/A,FALSE,"Rev By Month";"Print1",#N/A,FALSE,"NA Parts Reporting";"Print2",#N/A,FALSE,"NA Parts Reporting";"Print3",#N/A,FALSE,"NA Parts Reporting"}</definedName>
    <definedName name="Current_sum">#REF!</definedName>
    <definedName name="da" localSheetId="19" hidden="1">{#N/A,#N/A,FALSE,"O&amp;M by processes";#N/A,#N/A,FALSE,"Elec Act vs Bud";#N/A,#N/A,FALSE,"G&amp;A";#N/A,#N/A,FALSE,"BGS";#N/A,#N/A,FALSE,"Res Cost"}</definedName>
    <definedName name="da" localSheetId="13"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9" hidden="1">{#N/A,#N/A,FALSE,"O&amp;M by processes";#N/A,#N/A,FALSE,"Elec Act vs Bud";#N/A,#N/A,FALSE,"G&amp;A";#N/A,#N/A,FALSE,"BGS";#N/A,#N/A,FALSE,"Res Cost"}</definedName>
    <definedName name="dada" localSheetId="13" hidden="1">{#N/A,#N/A,FALSE,"O&amp;M by processes";#N/A,#N/A,FALSE,"Elec Act vs Bud";#N/A,#N/A,FALSE,"G&amp;A";#N/A,#N/A,FALSE,"BGS";#N/A,#N/A,FALSE,"Res Cost"}</definedName>
    <definedName name="dada" hidden="1">{#N/A,#N/A,FALSE,"O&amp;M by processes";#N/A,#N/A,FALSE,"Elec Act vs Bud";#N/A,#N/A,FALSE,"G&amp;A";#N/A,#N/A,FALSE,"BGS";#N/A,#N/A,FALSE,"Res Cost"}</definedName>
    <definedName name="dasda"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sd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ta_3">#REF!</definedName>
    <definedName name="Date" hidden="1">"b1"</definedName>
    <definedName name="ddd" localSheetId="19" hidden="1">{"CUR",#N/A,FALSE,"Summary";"PE",#N/A,FALSE,"Accounting";"EXPE",#N/A,FALSE,"Accounting";"EXPAS",#N/A,FALSE,"Accounting";"EXPL",#N/A,FALSE,"Accounting"}</definedName>
    <definedName name="ddd" hidden="1">{"CUR",#N/A,FALSE,"Summary";"PE",#N/A,FALSE,"Accounting";"EXPE",#N/A,FALSE,"Accounting";"EXPAS",#N/A,FALSE,"Accounting";"EXPL",#N/A,FALSE,"Accounting"}</definedName>
    <definedName name="DefaultCopy" localSheetId="19">#REF!</definedName>
    <definedName name="DefaultCopy">#REF!</definedName>
    <definedName name="DefaultPaste" localSheetId="19">#REF!</definedName>
    <definedName name="DefaultPaste">#REF!</definedName>
    <definedName name="delete" localSheetId="19" hidden="1">{#N/A,#N/A,FALSE,"CURRENT"}</definedName>
    <definedName name="delete" localSheetId="13" hidden="1">{#N/A,#N/A,FALSE,"CURRENT"}</definedName>
    <definedName name="delete" hidden="1">{#N/A,#N/A,FALSE,"CURRENT"}</definedName>
    <definedName name="detail">#REF!</definedName>
    <definedName name="DF_GRID_1">BALANCE #REF!</definedName>
    <definedName name="dfdsfdfs" localSheetId="19" hidden="1">{"Earnings",#N/A,FALSE,"Earnings";"balancesheet",#N/A,FALSE,"BalanceSheet";"change in cash",#N/A,FALSE,"CashFlow";"oil and gas results",#N/A,FALSE,"Oil and Gas Earnings";"foreign oil and gas results",#N/A,FALSE,"Foreign O&amp;G";"oil and gas details",#N/A,FALSE,"Foreign O&amp;G";"capexsum",#N/A,FALSE,"CAPEX Sum"}</definedName>
    <definedName name="dfdsfdfs" hidden="1">{"Earnings",#N/A,FALSE,"Earnings";"balancesheet",#N/A,FALSE,"BalanceSheet";"change in cash",#N/A,FALSE,"CashFlow";"oil and gas results",#N/A,FALSE,"Oil and Gas Earnings";"foreign oil and gas results",#N/A,FALSE,"Foreign O&amp;G";"oil and gas details",#N/A,FALSE,"Foreign O&amp;G";"capexsum",#N/A,FALSE,"CAPEX Sum"}</definedName>
    <definedName name="dfg"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ME_BeforeCloseCompleted">"False"</definedName>
    <definedName name="DME_Dirty">"False"</definedName>
    <definedName name="DME_LocalFile">"True"</definedName>
    <definedName name="DocumentName" hidden="1">"b1"</definedName>
    <definedName name="DocumentNum" hidden="1">"a1"</definedName>
    <definedName name="e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EE"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e" localSheetId="19" hidden="1">{#N/A,#N/A,FALSE,"O&amp;M by processes";#N/A,#N/A,FALSE,"Elec Act vs Bud";#N/A,#N/A,FALSE,"G&amp;A";#N/A,#N/A,FALSE,"BGS";#N/A,#N/A,FALSE,"Res Cost"}</definedName>
    <definedName name="eeee" localSheetId="13" hidden="1">{#N/A,#N/A,FALSE,"O&amp;M by processes";#N/A,#N/A,FALSE,"Elec Act vs Bud";#N/A,#N/A,FALSE,"G&amp;A";#N/A,#N/A,FALSE,"BGS";#N/A,#N/A,FALSE,"Res Cost"}</definedName>
    <definedName name="eeee" hidden="1">{#N/A,#N/A,FALSE,"O&amp;M by processes";#N/A,#N/A,FALSE,"Elec Act vs Bud";#N/A,#N/A,FALSE,"G&amp;A";#N/A,#N/A,FALSE,"BGS";#N/A,#N/A,FALSE,"Res Cost"}</definedName>
    <definedName name="e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g"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srg"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gsrg"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ror">#REF!</definedName>
    <definedName name="ertwertwtr" localSheetId="19"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wertwtr"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yertyeyt"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eyt"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reyt" localSheetId="19"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eyt"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yt" localSheetId="19" hidden="1">{"US RM Earnings Summary",#N/A,FALSE,"US R&amp;M";"US RM Realization Data",#N/A,FALSE,"US R&amp;M";"For RM Earnings Detail",#N/A,FALSE,"Foreign R&amp;M";"For RM Real and Vol Detail",#N/A,FALSE,"Foreign R&amp;M"}</definedName>
    <definedName name="ertyertyryt" hidden="1">{"US RM Earnings Summary",#N/A,FALSE,"US R&amp;M";"US RM Realization Data",#N/A,FALSE,"US R&amp;M";"For RM Earnings Detail",#N/A,FALSE,"Foreign R&amp;M";"For RM Real and Vol Detail",#N/A,FALSE,"Foreign R&amp;M"}</definedName>
    <definedName name="ertyerytrty" localSheetId="19" hidden="1">{TRUE,TRUE,-1.25,-15.5,604.5,343.5,FALSE,FALSE,TRUE,TRUE,0,1,2,1,5,1,4,4,TRUE,TRUE,3,TRUE,1,TRUE,85,"Swvu.earnings.","ACwvu.earnings.",#N/A,FALSE,FALSE,0.75,0.75,1,1,2,"","",TRUE,FALSE,FALSE,FALSE,1,#N/A,1,1,"=R1C1:R39C12",FALSE,#N/A,#N/A,FALSE,FALSE,FALSE,1,#N/A,#N/A,FALSE,FALSE,TRUE,TRUE,TRUE}</definedName>
    <definedName name="ertyerytrty" hidden="1">{TRUE,TRUE,-1.25,-15.5,604.5,343.5,FALSE,FALSE,TRUE,TRUE,0,1,2,1,5,1,4,4,TRUE,TRUE,3,TRUE,1,TRUE,85,"Swvu.earnings.","ACwvu.earnings.",#N/A,FALSE,FALSE,0.75,0.75,1,1,2,"","",TRUE,FALSE,FALSE,FALSE,1,#N/A,1,1,"=R1C1:R39C12",FALSE,#N/A,#N/A,FALSE,FALSE,FALSE,1,#N/A,#N/A,FALSE,FALSE,TRUE,TRUE,TRUE}</definedName>
    <definedName name="ertyrtyrey" localSheetId="19"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rtyrtyrey"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ssAliasTable">"Default"</definedName>
    <definedName name="EssLatest">"Q1 FY99"</definedName>
    <definedName name="EssOptions">"2100000010120000_01000"</definedName>
    <definedName name="EST" localSheetId="19" hidden="1">{#N/A,#N/A,FALSE,"Summary";#N/A,#N/A,FALSE,"Adj to Option C";#N/A,#N/A,FALSE,"Dividend Analysis";#N/A,#N/A,FALSE,"Reserve Analysis";#N/A,#N/A,FALSE,"Depreciation";#N/A,#N/A,FALSE,"Other Tax Adj"}</definedName>
    <definedName name="EST" hidden="1">{#N/A,#N/A,FALSE,"Summary";#N/A,#N/A,FALSE,"Adj to Option C";#N/A,#N/A,FALSE,"Dividend Analysis";#N/A,#N/A,FALSE,"Reserve Analysis";#N/A,#N/A,FALSE,"Depreciation";#N/A,#N/A,FALSE,"Other Tax Adj"}</definedName>
    <definedName name="Estimate" localSheetId="19" hidden="1">{#N/A,#N/A,FALSE,"Summary";#N/A,#N/A,FALSE,"Adj to Option C";#N/A,#N/A,FALSE,"Dividend Analysis";#N/A,#N/A,FALSE,"Reserve Analysis";#N/A,#N/A,FALSE,"Depreciation";#N/A,#N/A,FALSE,"Other Tax Adj"}</definedName>
    <definedName name="Estimate" hidden="1">{#N/A,#N/A,FALSE,"Summary";#N/A,#N/A,FALSE,"Adj to Option C";#N/A,#N/A,FALSE,"Dividend Analysis";#N/A,#N/A,FALSE,"Reserve Analysis";#N/A,#N/A,FALSE,"Depreciation";#N/A,#N/A,FALSE,"Other Tax Adj"}</definedName>
    <definedName name="estimate2" localSheetId="19" hidden="1">{#N/A,#N/A,FALSE,"Summary";#N/A,#N/A,FALSE,"Adj to Option C";#N/A,#N/A,FALSE,"Dividend Analysis";#N/A,#N/A,FALSE,"Reserve Analysis";#N/A,#N/A,FALSE,"Depreciation";#N/A,#N/A,FALSE,"Other Tax Adj"}</definedName>
    <definedName name="estimate2" hidden="1">{#N/A,#N/A,FALSE,"Summary";#N/A,#N/A,FALSE,"Adj to Option C";#N/A,#N/A,FALSE,"Dividend Analysis";#N/A,#N/A,FALSE,"Reserve Analysis";#N/A,#N/A,FALSE,"Depreciation";#N/A,#N/A,FALSE,"Other Tax Adj"}</definedName>
    <definedName name="etre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e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tyrtyerty" localSheetId="19" hidden="1">{"Fact Sheet",#N/A,FALSE,"Fact";"Earnings_Summary",#N/A,FALSE,"Earnings Model";"Balance Sheet",#N/A,FALSE,"Balance";"Change in Cash",#N/A,FALSE,"Cashflow";"normalengs",#N/A,FALSE,"NormalEngs";"NormalGrowth",#N/A,FALSE,"NormalGrowth"}</definedName>
    <definedName name="etrtyrtyerty" hidden="1">{"Fact Sheet",#N/A,FALSE,"Fact";"Earnings_Summary",#N/A,FALSE,"Earnings Model";"Balance Sheet",#N/A,FALSE,"Balance";"Change in Cash",#N/A,FALSE,"Cashflow";"normalengs",#N/A,FALSE,"NormalEngs";"NormalGrowth",#N/A,FALSE,"NormalGrowth"}</definedName>
    <definedName name="etyertyrty" localSheetId="19" hidden="1">{"US EP Earn and Prof Analysis",#N/A,FALSE,"USE&amp;P ";"US EP Price Vol Detail",#N/A,FALSE,"USE&amp;P "}</definedName>
    <definedName name="etyertyrty" hidden="1">{"US EP Earn and Prof Analysis",#N/A,FALSE,"USE&amp;P ";"US EP Price Vol Detail",#N/A,FALSE,"USE&amp;P "}</definedName>
    <definedName name="EV__LASTREFTIME__" hidden="1">39826.8319444444</definedName>
    <definedName name="ewrtwertewrt" localSheetId="19" hidden="1">{"Balance Sheet",#N/A,FALSE,"Balance";"Balance Sheet Details",#N/A,FALSE,"Balance";"Change in Cash",#N/A,FALSE,"Cashflow"}</definedName>
    <definedName name="ewrtwertewrt" hidden="1">{"Balance Sheet",#N/A,FALSE,"Balance";"Balance Sheet Details",#N/A,FALSE,"Balance";"Change in Cash",#N/A,FALSE,"Cashflow"}</definedName>
    <definedName name="ExistCap" localSheetId="19"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istCap"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pense" localSheetId="19" hidden="1">{"'W.W. Summary'!$A$1:$K$37"}</definedName>
    <definedName name="Expense" hidden="1">{"'W.W. Summary'!$A$1:$K$37"}</definedName>
    <definedName name="f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rf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r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hk" localSheetId="19" hidden="1">{#N/A,#N/A,FALSE,"P&amp;L";#N/A,#N/A,FALSE,"DL Worksheet";#N/A,#N/A,FALSE,"Ind. Cell";#N/A,#N/A,FALSE,"Capital";#N/A,#N/A,FALSE,"Tooling";#N/A,#N/A,FALSE,"LRP"}</definedName>
    <definedName name="fhk" hidden="1">{#N/A,#N/A,FALSE,"P&amp;L";#N/A,#N/A,FALSE,"DL Worksheet";#N/A,#N/A,FALSE,"Ind. Cell";#N/A,#N/A,FALSE,"Capital";#N/A,#N/A,FALSE,"Tooling";#N/A,#N/A,FALSE,"LRP"}</definedName>
    <definedName name="final" localSheetId="19" hidden="1">{#N/A,#N/A,FALSE,"Outlook for Month ";#N/A,#N/A,FALSE,"Risk for Month ";#N/A,#N/A,FALSE,"Upside for Month"}</definedName>
    <definedName name="final" hidden="1">{#N/A,#N/A,FALSE,"Outlook for Month ";#N/A,#N/A,FALSE,"Risk for Month ";#N/A,#N/A,FALSE,"Upside for Month"}</definedName>
    <definedName name="fw"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fw"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gdfg" localSheetId="19"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dfg"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gg"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g"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ita" localSheetId="19" hidden="1">{#N/A,#N/A,FALSE,"O&amp;M by processes";#N/A,#N/A,FALSE,"Elec Act vs Bud";#N/A,#N/A,FALSE,"G&amp;A";#N/A,#N/A,FALSE,"BGS";#N/A,#N/A,FALSE,"Res Cost"}</definedName>
    <definedName name="gita" localSheetId="13"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9" hidden="1">{#N/A,#N/A,FALSE,"O&amp;M by processes";#N/A,#N/A,FALSE,"Elec Act vs Bud";#N/A,#N/A,FALSE,"G&amp;A";#N/A,#N/A,FALSE,"BGS";#N/A,#N/A,FALSE,"Res Cost"}</definedName>
    <definedName name="gitah" localSheetId="13" hidden="1">{#N/A,#N/A,FALSE,"O&amp;M by processes";#N/A,#N/A,FALSE,"Elec Act vs Bud";#N/A,#N/A,FALSE,"G&amp;A";#N/A,#N/A,FALSE,"BGS";#N/A,#N/A,FALSE,"Res Cost"}</definedName>
    <definedName name="gitah" hidden="1">{#N/A,#N/A,FALSE,"O&amp;M by processes";#N/A,#N/A,FALSE,"Elec Act vs Bud";#N/A,#N/A,FALSE,"G&amp;A";#N/A,#N/A,FALSE,"BGS";#N/A,#N/A,FALSE,"Res Cost"}</definedName>
    <definedName name="gsdagas" localSheetId="19" hidden="1">{#N/A,#N/A,FALSE,"BS_CORPORATE"}</definedName>
    <definedName name="gsdagas" hidden="1">{#N/A,#N/A,FALSE,"BS_CORPORATE"}</definedName>
    <definedName name="hangzhou"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angzhou"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e"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llo"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spLogonApplication">"'CorpFin'"</definedName>
    <definedName name="HspLogonDomain">"'NA1'"</definedName>
    <definedName name="HspLogonServer">"'il06nssftt100'"</definedName>
    <definedName name="HspLogonUserName">"'EFIN47'"</definedName>
    <definedName name="HTML_CodePage" hidden="1">1252</definedName>
    <definedName name="HTML_Control" localSheetId="19" hidden="1">{"'W.W. Summary'!$A$1:$K$37"}</definedName>
    <definedName name="HTML_Control" hidden="1">{"'W.W. Summary'!$A$1:$K$37"}</definedName>
    <definedName name="HTML_Control_1" localSheetId="19" hidden="1">{"'360068'!$A$1:$P$225"}</definedName>
    <definedName name="HTML_Control_1" hidden="1">{"'360068'!$A$1:$P$225"}</definedName>
    <definedName name="HTML_Control_2" localSheetId="19" hidden="1">{"'360068'!$A$1:$P$225"}</definedName>
    <definedName name="HTML_Control_2" hidden="1">{"'360068'!$A$1:$P$225"}</definedName>
    <definedName name="HTML_Control_3" localSheetId="19" hidden="1">{"'360068'!$A$1:$P$225"}</definedName>
    <definedName name="HTML_Control_3" hidden="1">{"'360068'!$A$1:$P$225"}</definedName>
    <definedName name="HTML_Control_4" localSheetId="19" hidden="1">{"'360068'!$A$1:$P$225"}</definedName>
    <definedName name="HTML_Control_4" hidden="1">{"'360068'!$A$1:$P$225"}</definedName>
    <definedName name="HTML_Control_454" localSheetId="19" hidden="1">{"'360068'!$A$1:$P$225"}</definedName>
    <definedName name="HTML_Control_454" hidden="1">{"'360068'!$A$1:$P$225"}</definedName>
    <definedName name="HTML_Control_5" localSheetId="19" hidden="1">{"'360068'!$A$1:$P$225"}</definedName>
    <definedName name="HTML_Control_5" hidden="1">{"'360068'!$A$1:$P$225"}</definedName>
    <definedName name="HTML_Control2" localSheetId="19" hidden="1">{"'W.W. Summary'!$A$1:$K$37"}</definedName>
    <definedName name="HTML_Control2" hidden="1">{"'W.W. Summary'!$A$1:$K$37"}</definedName>
    <definedName name="HTML_Description" hidden="1">""</definedName>
    <definedName name="HTML_Email" hidden="1">""</definedName>
    <definedName name="HTML_Header" hidden="1">"Finance"</definedName>
    <definedName name="HTML_LastUpdate" hidden="1">"2/3/98"</definedName>
    <definedName name="HTML_LineAfter" hidden="1">FALSE</definedName>
    <definedName name="HTML_LineBefore" hidden="1">FALSE</definedName>
    <definedName name="HTML_Name" hidden="1">"G14163"</definedName>
    <definedName name="HTML_OBDlg2" hidden="1">TRUE</definedName>
    <definedName name="HTML_OBDlg4" hidden="1">TRUE</definedName>
    <definedName name="HTML_OS" hidden="1">0</definedName>
    <definedName name="HTML_PathFile" hidden="1">"L:\RAPTOR\INET0198\SECTCOST\summ.htm"</definedName>
    <definedName name="HTML_Title" hidden="1">"SECTOR1"</definedName>
    <definedName name="hukh" localSheetId="19" hidden="1">{#N/A,#N/A,FALSE,"P&amp;L";#N/A,#N/A,FALSE,"DL Worksheet";#N/A,#N/A,FALSE,"Ind. Cell";#N/A,#N/A,FALSE,"Capital";#N/A,#N/A,FALSE,"Tooling";#N/A,#N/A,FALSE,"LRP"}</definedName>
    <definedName name="hukh" hidden="1">{#N/A,#N/A,FALSE,"P&amp;L";#N/A,#N/A,FALSE,"DL Worksheet";#N/A,#N/A,FALSE,"Ind. Cell";#N/A,#N/A,FALSE,"Capital";#N/A,#N/A,FALSE,"Tooling";#N/A,#N/A,FALSE,"LRP"}</definedName>
    <definedName name="IQ_ADDIN" hidden="1">"AUTO"</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 hidden="1">110000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NTRACTS_OTHER_COMMODITIES_EQUITIES._FDIC" hidden="1">"c6522"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Y" hidden="1">10000</definedName>
    <definedName name="IQ_DAILY" hidden="1">500000</definedName>
    <definedName name="IQ_DNTM" hidden="1">700000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H" hidden="1">100000</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TH" hidden="1">15000</definedName>
    <definedName name="IQ_MTD" hidden="1">800000</definedName>
    <definedName name="IQ_NAMES_REVISION_DATE_" hidden="1">42691.5412615741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WEEK" hidden="1">"c1823"</definedName>
    <definedName name="IQ_PERCENT_CHANGE_EST_FFO_WEEK_CIQ" hidden="1">"c3795"</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TODAY" hidden="1">0</definedName>
    <definedName name="IQ_WEEK" hidden="1">50000</definedName>
    <definedName name="IQ_YTD" hidden="1">3000</definedName>
    <definedName name="IQ_YTDMONTH" hidden="1">130000</definedName>
    <definedName name="itc" localSheetId="19">#REF!</definedName>
    <definedName name="itc">#REF!</definedName>
    <definedName name="iuyrytdgfx" localSheetId="19"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uyrytdgfx"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ytrutre" localSheetId="19"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trutre"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uttyr" localSheetId="19" hidden="1">{"Earnings",#N/A,TRUE,"Earnings";"qtr for IR",#N/A,TRUE,"Quarters";"balancesheet",#N/A,TRUE,"BalanceSheet";"change in cash",#N/A,TRUE,"CashFlow";"oil and gas earnings",#N/A,TRUE,"Oil and Gas Results";"price and vol detail",#N/A,TRUE,"Oil and Gas Results";"capexsum",#N/A,TRUE,"CAPEX Sum"}</definedName>
    <definedName name="iyuttyr" hidden="1">{"Earnings",#N/A,TRUE,"Earnings";"qtr for IR",#N/A,TRUE,"Quarters";"balancesheet",#N/A,TRUE,"BalanceSheet";"change in cash",#N/A,TRUE,"CashFlow";"oil and gas earnings",#N/A,TRUE,"Oil and Gas Results";"price and vol detail",#N/A,TRUE,"Oil and Gas Results";"capexsum",#N/A,TRUE,"CAPEX Sum"}</definedName>
    <definedName name="j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jjks" localSheetId="19" hidden="1">{#N/A,#N/A,FALSE,"Total";#N/A,#N/A,FALSE,"ASNS";#N/A,#N/A,FALSE,"PNCNS";#N/A,#N/A,FALSE,"DSNS";#N/A,#N/A,FALSE,"TNS"}</definedName>
    <definedName name="jajjks" hidden="1">{#N/A,#N/A,FALSE,"Total";#N/A,#N/A,FALSE,"ASNS";#N/A,#N/A,FALSE,"PNCNS";#N/A,#N/A,FALSE,"DSNS";#N/A,#N/A,FALSE,"TNS"}</definedName>
    <definedName name="janeiro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son" localSheetId="19" hidden="1">{"Age 50; 100% - NPPC",#N/A,FALSE,"Age 50; 100%";"Age 50; 100% - PSC",#N/A,FALSE,"Age 50; 100%";"Age 50; 100% - Gain/Loss",#N/A,FALSE,"Age 50; 100%"}</definedName>
    <definedName name="Jason" hidden="1">{"Age 50; 100% - NPPC",#N/A,FALSE,"Age 50; 100%";"Age 50; 100% - PSC",#N/A,FALSE,"Age 50; 100%";"Age 50; 100% - Gain/Loss",#N/A,FALSE,"Age 50; 100%"}</definedName>
    <definedName name="ji" localSheetId="19" hidden="1">{"'Highlights'!$A$1:$M$123"}</definedName>
    <definedName name="ji" hidden="1">{"'Highlights'!$A$1:$M$123"}</definedName>
    <definedName name="K2_WBEVMODE" hidden="1">-1</definedName>
    <definedName name="kjl" localSheetId="19" hidden="1">{#N/A,#N/A,FALSE,"TOTFINAL";#N/A,#N/A,FALSE,"FINPLAN";#N/A,#N/A,FALSE,"TOTMOTADJ";#N/A,#N/A,FALSE,"tieEQ";#N/A,#N/A,FALSE,"G";#N/A,#N/A,FALSE,"ELIMS";#N/A,#N/A,FALSE,"NEXTEL ADJ";#N/A,#N/A,FALSE,"MIMS";#N/A,#N/A,FALSE,"LMPS";#N/A,#N/A,FALSE,"CNSS";#N/A,#N/A,FALSE,"CSS";#N/A,#N/A,FALSE,"MCG";#N/A,#N/A,FALSE,"AECS";#N/A,#N/A,FALSE,"SPS";#N/A,#N/A,FALSE,"CORP"}</definedName>
    <definedName name="kjl" hidden="1">{#N/A,#N/A,FALSE,"TOTFINAL";#N/A,#N/A,FALSE,"FINPLAN";#N/A,#N/A,FALSE,"TOTMOTADJ";#N/A,#N/A,FALSE,"tieEQ";#N/A,#N/A,FALSE,"G";#N/A,#N/A,FALSE,"ELIMS";#N/A,#N/A,FALSE,"NEXTEL ADJ";#N/A,#N/A,FALSE,"MIMS";#N/A,#N/A,FALSE,"LMPS";#N/A,#N/A,FALSE,"CNSS";#N/A,#N/A,FALSE,"CSS";#N/A,#N/A,FALSE,"MCG";#N/A,#N/A,FALSE,"AECS";#N/A,#N/A,FALSE,"SPS";#N/A,#N/A,FALSE,"CORP"}</definedName>
    <definedName name="kk" localSheetId="19">#REF!</definedName>
    <definedName name="kk">#REF!</definedName>
    <definedName name="l"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ibrary" hidden="1">"a1"</definedName>
    <definedName name="limcount" hidden="1">1</definedName>
    <definedName name="ListOffset" hidden="1">1</definedName>
    <definedName name="lk" localSheetId="19" hidden="1">{#N/A,#N/A,FALSE,"Summary";#N/A,#N/A,FALSE,"Adj to Option C";#N/A,#N/A,FALSE,"Dividend Analysis";#N/A,#N/A,FALSE,"Reserve Analysis";#N/A,#N/A,FALSE,"Depreciation";#N/A,#N/A,FALSE,"Other Tax Adj"}</definedName>
    <definedName name="lk" hidden="1">{#N/A,#N/A,FALSE,"Summary";#N/A,#N/A,FALSE,"Adj to Option C";#N/A,#N/A,FALSE,"Dividend Analysis";#N/A,#N/A,FALSE,"Reserve Analysis";#N/A,#N/A,FALSE,"Depreciation";#N/A,#N/A,FALSE,"Other Tax Adj"}</definedName>
    <definedName name="m"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arch18Data">#REF!</definedName>
    <definedName name="mb"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CGIS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FWT"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gmt" localSheetId="19">#REF!</definedName>
    <definedName name="Mgmt">#REF!</definedName>
    <definedName name="million">1000000</definedName>
    <definedName name="MonitorCol">1</definedName>
    <definedName name="MonitorRow">1</definedName>
    <definedName name="months">#REF!</definedName>
    <definedName name="N"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ew" localSheetId="19">#REF!</definedName>
    <definedName name="new">#REF!</definedName>
    <definedName name="nn"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SP_COS" localSheetId="19">#REF!</definedName>
    <definedName name="NSP_COS">#REF!</definedName>
    <definedName name="NvsAnswerCol">"'[RP Consolidating IS YTD - 2017 - 9.xlsx]BU List'!$A$4:$A$19"</definedName>
    <definedName name="NvsASD">"V2016-12-31"</definedName>
    <definedName name="NvsAutoDrillOk">"VN"</definedName>
    <definedName name="NvsElapsedTime">0.0000462962925666943</definedName>
    <definedName name="NvsEndTime">42816.4573842593</definedName>
    <definedName name="NvsInstLang">"VENG"</definedName>
    <definedName name="NvsInstSpec">"%,FBUSINESS_UNIT,V41000"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"V10000"</definedName>
    <definedName name="NvsPanelEffdt">"V2016-02-06"</definedName>
    <definedName name="NvsPanelSetid">"VSHARE"</definedName>
    <definedName name="NvsReqBU">"V10000"</definedName>
    <definedName name="NvsReqBUOnly">"VN"</definedName>
    <definedName name="NvsTransLed">"VN"</definedName>
    <definedName name="NvsTreeASD">"V2016-12-31"</definedName>
    <definedName name="NvsValTbl.ACCOUNT">"GL_ACCOUNT_TBL"</definedName>
    <definedName name="NvsValTbl.BUSINESS_UNIT">"BUS_UNIT_TBL_FS"</definedName>
    <definedName name="OASDI">#REF!</definedName>
    <definedName name="oct" localSheetId="19" hidden="1">{#N/A,#N/A,FALSE,"TOTFINAL";#N/A,#N/A,FALSE,"FINPLAN";#N/A,#N/A,FALSE,"TOTMOTADJ";#N/A,#N/A,FALSE,"tieEQ";#N/A,#N/A,FALSE,"G";#N/A,#N/A,FALSE,"ELIMS";#N/A,#N/A,FALSE,"NEXTEL ADJ";#N/A,#N/A,FALSE,"MIMS";#N/A,#N/A,FALSE,"LMPS";#N/A,#N/A,FALSE,"CNSS";#N/A,#N/A,FALSE,"CSS";#N/A,#N/A,FALSE,"MCG";#N/A,#N/A,FALSE,"AECS";#N/A,#N/A,FALSE,"SPS";#N/A,#N/A,FALSE,"CORP"}</definedName>
    <definedName name="oct" hidden="1">{#N/A,#N/A,FALSE,"TOTFINAL";#N/A,#N/A,FALSE,"FINPLAN";#N/A,#N/A,FALSE,"TOTMOTADJ";#N/A,#N/A,FALSE,"tieEQ";#N/A,#N/A,FALSE,"G";#N/A,#N/A,FALSE,"ELIMS";#N/A,#N/A,FALSE,"NEXTEL ADJ";#N/A,#N/A,FALSE,"MIMS";#N/A,#N/A,FALSE,"LMPS";#N/A,#N/A,FALSE,"CNSS";#N/A,#N/A,FALSE,"CSS";#N/A,#N/A,FALSE,"MCG";#N/A,#N/A,FALSE,"AECS";#N/A,#N/A,FALSE,"SPS";#N/A,#N/A,FALSE,"CORP"}</definedName>
    <definedName name="oiupiu" localSheetId="19" hidden="1">{"US Chemical Summary",#N/A,FALSE,"USChem";"Foreign Chemical Summary",#N/A,FALSE,"ForChem"}</definedName>
    <definedName name="oiupiu" hidden="1">{"US Chemical Summary",#N/A,FALSE,"USChem";"Foreign Chemical Summary",#N/A,FALSE,"ForChem"}</definedName>
    <definedName name="oiutyut" localSheetId="19" hidden="1">{"US EP DCF Valuation",#N/A,FALSE,"USE&amp;P ";"Can EP DCF Valuation",#N/A,FALSE,"Can E&amp;P";"Eur EP DCF Valuation",#N/A,FALSE,"Eur E&amp;P";"ASPAC EP DCF Valuation",#N/A,FALSE,"Asia-Pac E&amp;P";"NonCon EP DCF Valuation",#N/A,FALSE,"Non-Con E&amp;P"}</definedName>
    <definedName name="oiutyut" hidden="1">{"US EP DCF Valuation",#N/A,FALSE,"USE&amp;P ";"Can EP DCF Valuation",#N/A,FALSE,"Can E&amp;P";"Eur EP DCF Valuation",#N/A,FALSE,"Eur E&amp;P";"ASPAC EP DCF Valuation",#N/A,FALSE,"Asia-Pac E&amp;P";"NonCon EP DCF Valuation",#N/A,FALSE,"Non-Con E&amp;P"}</definedName>
    <definedName name="oiuyt" localSheetId="19" hidden="1">{"us ep earnings",#N/A,FALSE,"US E&amp;P";"us ep price vol detail",#N/A,FALSE,"US E&amp;P";"fareast ep earnings",#N/A,FALSE,"Far East E&amp;P";"fareast ep price vol detail",#N/A,FALSE,"Far East E&amp;P";"other EP earnings",#N/A,FALSE,"Other E&amp;P";"other EP price vol detail",#N/A,FALSE,"Other E&amp;P"}</definedName>
    <definedName name="oiuyt" hidden="1">{"us ep earnings",#N/A,FALSE,"US E&amp;P";"us ep price vol detail",#N/A,FALSE,"US E&amp;P";"fareast ep earnings",#N/A,FALSE,"Far East E&amp;P";"fareast ep price vol detail",#N/A,FALSE,"Far East E&amp;P";"other EP earnings",#N/A,FALSE,"Other E&amp;P";"other EP price vol detail",#N/A,FALSE,"Other E&amp;P"}</definedName>
    <definedName name="okay"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ay"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lahoma">#REF!</definedName>
    <definedName name="ol"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l"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ne">1</definedName>
    <definedName name="o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yutfc" localSheetId="19" hidden="1">{"Earnings",#N/A,FALSE,"Earnings";"BalanceSheet",#N/A,FALSE,"BalanceSheet";"ChangeinCash",#N/A,FALSE,"CashFlow";"IR Production Sum",#N/A,FALSE,"E&amp;P Summary";"IR EPCost Sum",#N/A,FALSE,"E&amp;P Summary"}</definedName>
    <definedName name="oyutfc" hidden="1">{"Earnings",#N/A,FALSE,"Earnings";"BalanceSheet",#N/A,FALSE,"BalanceSheet";"ChangeinCash",#N/A,FALSE,"CashFlow";"IR Production Sum",#N/A,FALSE,"E&amp;P Summary";"IR EPCost Sum",#N/A,FALSE,"E&amp;P Summary"}</definedName>
    <definedName name="pioupoiu" localSheetId="19" hidden="1">{"Earnings_Summary",#N/A,FALSE,"Earnings Model";"Earnings EP Detail",#N/A,FALSE,"Earnings Model";"Earnings RM Detail",#N/A,FALSE,"Earnings Model"}</definedName>
    <definedName name="pioupoiu" hidden="1">{"Earnings_Summary",#N/A,FALSE,"Earnings Model";"Earnings EP Detail",#N/A,FALSE,"Earnings Model";"Earnings RM Detail",#N/A,FALSE,"Earnings Model"}</definedName>
    <definedName name="pipiupiou" localSheetId="19" hidden="1">{"Earnings",#N/A,FALSE,"Earnings";"BalanceSheet",#N/A,FALSE,"BalanceSheet";"Change in Cash",#N/A,FALSE,"CashFlow";"normalengs",#N/A,FALSE,"NormalEngs";"upstream normal per Bbl",#N/A,FALSE,"NormEngUp";"CAPEXsum",#N/A,FALSE,"CAPEX Sum"}</definedName>
    <definedName name="pipiupiou" hidden="1">{"Earnings",#N/A,FALSE,"Earnings";"BalanceSheet",#N/A,FALSE,"BalanceSheet";"Change in Cash",#N/A,FALSE,"CashFlow";"normalengs",#N/A,FALSE,"NormalEngs";"upstream normal per Bbl",#N/A,FALSE,"NormEngUp";"CAPEXsum",#N/A,FALSE,"CAPEX Sum"}</definedName>
    <definedName name="piuoip" localSheetId="19"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iuoip"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o" localSheetId="19" hidden="1">{#N/A,#N/A,FALSE,"Summary";#N/A,#N/A,FALSE,"Adj to Option C";#N/A,#N/A,FALSE,"Dividend Analysis";#N/A,#N/A,FALSE,"Reserve Analysis";#N/A,#N/A,FALSE,"Depreciation";#N/A,#N/A,FALSE,"Other Tax Adj"}</definedName>
    <definedName name="po" hidden="1">{#N/A,#N/A,FALSE,"Summary";#N/A,#N/A,FALSE,"Adj to Option C";#N/A,#N/A,FALSE,"Dividend Analysis";#N/A,#N/A,FALSE,"Reserve Analysis";#N/A,#N/A,FALSE,"Depreciation";#N/A,#N/A,FALSE,"Other Tax Adj"}</definedName>
    <definedName name="poiji" localSheetId="19" hidden="1">{"Balance Sheet",#N/A,FALSE,"Balance";"Balance Sheet Details",#N/A,FALSE,"Balance"}</definedName>
    <definedName name="poiji" hidden="1">{"Balance Sheet",#N/A,FALSE,"Balance";"Balance Sheet Details",#N/A,FALSE,"Balance"}</definedName>
    <definedName name="print_all">#REF!</definedName>
    <definedName name="print_all_D_1">#REF!</definedName>
    <definedName name="_xlnm.Print_Area" localSheetId="1">'1 - Revenue Credits'!$A$1:$H$47</definedName>
    <definedName name="_xlnm.Print_Area" localSheetId="2">'2 - Cost Support '!$A$1:$F$111</definedName>
    <definedName name="_xlnm.Print_Area" localSheetId="4">'2b - Cost Support'!$A$1:$Q$45</definedName>
    <definedName name="_xlnm.Print_Area" localSheetId="6">'4 - Cap Adds'!$A$1:$N$73</definedName>
    <definedName name="_xlnm.Print_Area" localSheetId="8">'6a-ADIT Projection'!$A$1:$I$37</definedName>
    <definedName name="_xlnm.Print_Area" localSheetId="9">'6b-ADIT Projection Proration'!$A$1:$L$61</definedName>
    <definedName name="_xlnm.Print_Area" localSheetId="10">'6c- ADIT BOY'!$A$1:$H$84</definedName>
    <definedName name="_xlnm.Print_Area" localSheetId="11">'6d- ADIT EOY'!$A$1:$H$84</definedName>
    <definedName name="_xlnm.Print_Area" localSheetId="12">'6e-ADIT True-up'!$A$1:$I$37</definedName>
    <definedName name="_xlnm.Print_Area" localSheetId="13">'6f-ADIT True-up Proration'!$A$1:$W$61</definedName>
    <definedName name="_xlnm.Print_Area" localSheetId="14">'7 - Unfunded Reserves'!$A$1:$W$39</definedName>
    <definedName name="_xlnm.Print_Area" localSheetId="15">'8 - CWIP'!$A$1:$AA$37</definedName>
    <definedName name="_xlnm.Print_Area" localSheetId="0">'Appendix III'!$A$1:$R$246</definedName>
    <definedName name="_xlnm.Print_Area">#REF!</definedName>
    <definedName name="_xlnm.Print_Titles" localSheetId="8">'6a-ADIT Projection'!$19:$20</definedName>
    <definedName name="_xlnm.Print_Titles" localSheetId="9">'6b-ADIT Projection Proration'!$6:$7</definedName>
    <definedName name="_xlnm.Print_Titles" localSheetId="12">'6e-ADIT True-up'!$19:$20</definedName>
    <definedName name="_xlnm.Print_Titles" localSheetId="13">'6f-ADIT True-up Proration'!$6:$7</definedName>
    <definedName name="Print1" localSheetId="19">#REF!</definedName>
    <definedName name="Print1">#REF!</definedName>
    <definedName name="Print3" localSheetId="19">#REF!</definedName>
    <definedName name="Print3">#REF!</definedName>
    <definedName name="Print4" localSheetId="19">#REF!</definedName>
    <definedName name="Print4">#REF!</definedName>
    <definedName name="Print5">#REF!</definedName>
    <definedName name="ProjIDList">#REF!</definedName>
    <definedName name="PropertyGroupName">#REF!</definedName>
    <definedName name="PropertyUnitName">#REF!</definedName>
    <definedName name="PSCo_COS" localSheetId="19">#REF!</definedName>
    <definedName name="PSCo_COS">#REF!</definedName>
    <definedName name="py_clint">#REF!</definedName>
    <definedName name="py_eec">#REF!</definedName>
    <definedName name="py_ei">#REF!</definedName>
    <definedName name="py_engl">#REF!</definedName>
    <definedName name="py_epc">#REF!</definedName>
    <definedName name="py_esc">#REF!</definedName>
    <definedName name="q_1" localSheetId="19" hidden="1">{#N/A,#N/A,FALSE,"BS_ESG ";#N/A,#N/A,FALSE,"P&amp;L_ESG"}</definedName>
    <definedName name="q_1" hidden="1">{#N/A,#N/A,FALSE,"BS_ESG ";#N/A,#N/A,FALSE,"P&amp;L_ESG"}</definedName>
    <definedName name="q_2" localSheetId="19" hidden="1">{#N/A,#N/A,FALSE,"BS_ESG ";#N/A,#N/A,FALSE,"P&amp;L_ESG"}</definedName>
    <definedName name="q_2" hidden="1">{#N/A,#N/A,FALSE,"BS_ESG ";#N/A,#N/A,FALSE,"P&amp;L_ESG"}</definedName>
    <definedName name="q_3" localSheetId="19" hidden="1">{#N/A,#N/A,FALSE,"BS_ESG ";#N/A,#N/A,FALSE,"P&amp;L_ESG"}</definedName>
    <definedName name="q_3" hidden="1">{#N/A,#N/A,FALSE,"BS_ESG ";#N/A,#N/A,FALSE,"P&amp;L_ESG"}</definedName>
    <definedName name="q_4" localSheetId="19" hidden="1">{#N/A,#N/A,FALSE,"BS_ESG ";#N/A,#N/A,FALSE,"P&amp;L_ESG"}</definedName>
    <definedName name="q_4" hidden="1">{#N/A,#N/A,FALSE,"BS_ESG ";#N/A,#N/A,FALSE,"P&amp;L_ESG"}</definedName>
    <definedName name="q_5" localSheetId="19" hidden="1">{#N/A,#N/A,FALSE,"BS_ESG ";#N/A,#N/A,FALSE,"P&amp;L_ESG"}</definedName>
    <definedName name="q_5" hidden="1">{#N/A,#N/A,FALSE,"BS_ESG ";#N/A,#N/A,FALSE,"P&amp;L_ESG"}</definedName>
    <definedName name="q_MTEP06_App_AB_Facility" localSheetId="19">#REF!</definedName>
    <definedName name="q_MTEP06_App_AB_Facility">#REF!</definedName>
    <definedName name="q_MTEP06_App_AB_Projects" localSheetId="19">#REF!</definedName>
    <definedName name="q_MTEP06_App_AB_Projects">#REF!</definedName>
    <definedName name="Q2Fcst" localSheetId="19" hidden="1">{#N/A,#N/A,FALSE,"TOTFINAL";#N/A,#N/A,FALSE,"FINPLAN";#N/A,#N/A,FALSE,"TOTMOTADJ";#N/A,#N/A,FALSE,"tieEQ";#N/A,#N/A,FALSE,"G";#N/A,#N/A,FALSE,"ELIMS";#N/A,#N/A,FALSE,"NEXTEL ADJ";#N/A,#N/A,FALSE,"MIMS";#N/A,#N/A,FALSE,"LMPS";#N/A,#N/A,FALSE,"CNSS";#N/A,#N/A,FALSE,"CSS";#N/A,#N/A,FALSE,"MCG";#N/A,#N/A,FALSE,"AECS";#N/A,#N/A,FALSE,"SPS";#N/A,#N/A,FALSE,"CORP"}</definedName>
    <definedName name="Q2Fcst" hidden="1">{#N/A,#N/A,FALSE,"TOTFINAL";#N/A,#N/A,FALSE,"FINPLAN";#N/A,#N/A,FALSE,"TOTMOTADJ";#N/A,#N/A,FALSE,"tieEQ";#N/A,#N/A,FALSE,"G";#N/A,#N/A,FALSE,"ELIMS";#N/A,#N/A,FALSE,"NEXTEL ADJ";#N/A,#N/A,FALSE,"MIMS";#N/A,#N/A,FALSE,"LMPS";#N/A,#N/A,FALSE,"CNSS";#N/A,#N/A,FALSE,"CSS";#N/A,#N/A,FALSE,"MCG";#N/A,#N/A,FALSE,"AECS";#N/A,#N/A,FALSE,"SPS";#N/A,#N/A,FALSE,"CORP"}</definedName>
    <definedName name="qerw"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erw"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q" localSheetId="19" hidden="1">{#N/A,#N/A,FALSE,"BS_ESG ";#N/A,#N/A,FALSE,"P&amp;L_ESG"}</definedName>
    <definedName name="qq" hidden="1">{#N/A,#N/A,FALSE,"BS_ESG ";#N/A,#N/A,FALSE,"P&amp;L_ESG"}</definedName>
    <definedName name="Q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erenc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erenc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vreq" localSheetId="19">#REF!</definedName>
    <definedName name="revreq">#REF!</definedName>
    <definedName name="rggfgrt" localSheetId="19" hidden="1">{"a",#N/A,FALSE,"Fact Sheet";"a",#N/A,FALSE,"DCFEVA";"a",#N/A,FALSE,"Statements";"a",#N/A,FALSE,"Quarterly";"a",#N/A,FALSE,"Q Grid";"a",#N/A,FALSE,"Stockval";"a",#N/A,FALSE,"DDM"}</definedName>
    <definedName name="rggfgrt" hidden="1">{"a",#N/A,FALSE,"Fact Sheet";"a",#N/A,FALSE,"DCFEVA";"a",#N/A,FALSE,"Statements";"a",#N/A,FALSE,"Quarterly";"a",#N/A,FALSE,"Q Grid";"a",#N/A,FALSE,"Stockval";"a",#N/A,FALSE,"DDM"}</definedName>
    <definedName name="rmcAccount">96050</definedName>
    <definedName name="rmcApplication">"MOTO"</definedName>
    <definedName name="rmcCategory">"PFCST"</definedName>
    <definedName name="rmcFrequency">"MON"</definedName>
    <definedName name="rmcName">"R0P014"</definedName>
    <definedName name="RMCOptions">"*000000000000000"</definedName>
    <definedName name="rmcPeriod">9609</definedName>
    <definedName name="Robson"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obson"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rr" localSheetId="19" hidden="1">{#N/A,#N/A,FALSE,"O&amp;M by processes";#N/A,#N/A,FALSE,"Elec Act vs Bud";#N/A,#N/A,FALSE,"G&amp;A";#N/A,#N/A,FALSE,"BGS";#N/A,#N/A,FALSE,"Res Cost"}</definedName>
    <definedName name="rrrr" localSheetId="13" hidden="1">{#N/A,#N/A,FALSE,"O&amp;M by processes";#N/A,#N/A,FALSE,"Elec Act vs Bud";#N/A,#N/A,FALSE,"G&amp;A";#N/A,#N/A,FALSE,"BGS";#N/A,#N/A,FALSE,"Res Cost"}</definedName>
    <definedName name="rrrr" hidden="1">{#N/A,#N/A,FALSE,"O&amp;M by processes";#N/A,#N/A,FALSE,"Elec Act vs Bud";#N/A,#N/A,FALSE,"G&amp;A";#N/A,#N/A,FALSE,"BGS";#N/A,#N/A,FALSE,"Res Cost"}</definedName>
    <definedName name="rtyertye" localSheetId="19" hidden="1">{TRUE,TRUE,-1.25,-15.5,604.5,343.5,FALSE,FALSE,TRUE,TRUE,0,1,5,1,5,1,4,4,TRUE,TRUE,3,TRUE,1,TRUE,80,"Swvu.qtr._.earnings._.model.","ACwvu.qtr._.earnings._.model.",#N/A,FALSE,FALSE,0.65,0.5,1.25,1,2,"","",TRUE,FALSE,FALSE,FALSE,1,#N/A,1,1,"=R1C1:R36C16",FALSE,#N/A,#N/A,FALSE,FALSE,FALSE,1,#N/A,#N/A,FALSE,FALSE,TRUE,TRUE,TRUE}</definedName>
    <definedName name="rtyertye" hidden="1">{TRUE,TRUE,-1.25,-15.5,604.5,343.5,FALSE,FALSE,TRUE,TRUE,0,1,5,1,5,1,4,4,TRUE,TRUE,3,TRUE,1,TRUE,80,"Swvu.qtr._.earnings._.model.","ACwvu.qtr._.earnings._.model.",#N/A,FALSE,FALSE,0.65,0.5,1.25,1,2,"","",TRUE,FALSE,FALSE,FALSE,1,#N/A,1,1,"=R1C1:R36C16",FALSE,#N/A,#N/A,FALSE,FALSE,FALSE,1,#N/A,#N/A,FALSE,FALSE,TRUE,TRUE,TRUE}</definedName>
    <definedName name="rtyertyreyt"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rtyertyreyt" hidden="1">{TRUE,TRUE,-1.25,-15.5,604.5,343.5,FALSE,FALSE,TRUE,TRUE,0,1,#N/A,1,35,14.1666666666667,3,3,FALSE,TRUE,3,TRUE,1,TRUE,85,"Swvu.oil._.and._.gas._.details.","ACwvu.oil._.and._.gas._.details.",#N/A,FALSE,FALSE,0.75,0.75,1,1,1,"","",TRUE,FALSE,FALSE,FALSE,1,#N/A,1,1,"=R1C1:R59C11","=R1:R3",#N/A,#N/A,FALSE,FALSE,FALSE,1,#N/A,#N/A,FALSE,FALSE,TRUE,TRUE,TRUE}</definedName>
    <definedName name="Rwvu.Earnings." hidden="1">#REF!</definedName>
    <definedName name="Rwvu.Qtr._.Earnings._.Model." hidden="1">#REF!</definedName>
    <definedName name="Rwvu.Table." hidden="1">#REF!,#REF!,#REF!,#REF!,#REF!</definedName>
    <definedName name="s" hidden="1">#REF!</definedName>
    <definedName name="S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ales2" localSheetId="19" hidden="1">{"'Highlights'!$A$1:$M$123"}</definedName>
    <definedName name="Sales2" hidden="1">{"'Highlights'!$A$1:$M$123"}</definedName>
    <definedName name="SAPBEXhrIndnt" hidden="1">"Wide"</definedName>
    <definedName name="SAPsysID" hidden="1">"708C5W7SBKP804JT78WJ0JNKI"</definedName>
    <definedName name="SAPwbID" hidden="1">"ARS"</definedName>
    <definedName name="SDF"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SDF" hidden="1">{TRUE,TRUE,-1.25,-15.5,604.5,343.5,FALSE,FALSE,TRUE,TRUE,0,1,#N/A,1,35,14.1666666666667,3,3,FALSE,TRUE,3,TRUE,1,TRUE,85,"Swvu.oil._.and._.gas._.details.","ACwvu.oil._.and._.gas._.details.",#N/A,FALSE,FALSE,0.75,0.75,1,1,1,"","",TRUE,FALSE,FALSE,FALSE,1,#N/A,1,1,"=R1C1:R59C11","=R1:R3",#N/A,#N/A,FALSE,FALSE,FALSE,1,#N/A,#N/A,FALSE,FALSE,TRUE,TRUE,TRUE}</definedName>
    <definedName name="sdfsdf" localSheetId="19"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dfsdf"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encount" hidden="1">1</definedName>
    <definedName name="sep"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ep"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fdsf"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dsf"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gasd" localSheetId="19" hidden="1">{0,0,0,0;0,0,0,0;0,0,0,0;0,0,0,0;0,0,0,0;0,0,0,0;0,0,2,0;2,3,3,0;FALSE,FALSE,FALSE,FALSE;TRUE,FALSE,TRUE,TRUE;FALSE,FALSE,TRUE,TRUE;FALSE,0,2.78134444564786E-308,4.45015196281921E-308;7.78776275135711E-308,1.33504516457612E-307,2.22507555776164E-307,3.56012157274209E-307}</definedName>
    <definedName name="sfgasd" hidden="1">{0,0,0,0;0,0,0,0;0,0,0,0;0,0,0,0;0,0,0,0;0,0,0,0;0,0,2,0;2,3,3,0;FALSE,FALSE,FALSE,FALSE;TRUE,FALSE,TRUE,TRUE;FALSE,FALSE,TRUE,TRUE;FALSE,0,2.78134444564786E-308,4.45015196281921E-308;7.78776275135711E-308,1.33504516457612E-307,2.22507555776164E-307,3.56012157274209E-307}</definedName>
    <definedName name="shelly" localSheetId="19" hidden="1">{#N/A,#N/A,FALSE,"TOTFINAL";#N/A,#N/A,FALSE,"FINPLAN";#N/A,#N/A,FALSE,"TOTMOTADJ";#N/A,#N/A,FALSE,"tieEQ";#N/A,#N/A,FALSE,"G";#N/A,#N/A,FALSE,"ELIMS";#N/A,#N/A,FALSE,"NEXTEL ADJ";#N/A,#N/A,FALSE,"MIMS";#N/A,#N/A,FALSE,"LMPS";#N/A,#N/A,FALSE,"CNSS";#N/A,#N/A,FALSE,"CSS";#N/A,#N/A,FALSE,"MCG";#N/A,#N/A,FALSE,"AECS";#N/A,#N/A,FALSE,"SPS";#N/A,#N/A,FALSE,"CORP"}</definedName>
    <definedName name="shelly" hidden="1">{#N/A,#N/A,FALSE,"TOTFINAL";#N/A,#N/A,FALSE,"FINPLAN";#N/A,#N/A,FALSE,"TOTMOTADJ";#N/A,#N/A,FALSE,"tieEQ";#N/A,#N/A,FALSE,"G";#N/A,#N/A,FALSE,"ELIMS";#N/A,#N/A,FALSE,"NEXTEL ADJ";#N/A,#N/A,FALSE,"MIMS";#N/A,#N/A,FALSE,"LMPS";#N/A,#N/A,FALSE,"CNSS";#N/A,#N/A,FALSE,"CSS";#N/A,#N/A,FALSE,"MCG";#N/A,#N/A,FALSE,"AECS";#N/A,#N/A,FALSE,"SPS";#N/A,#N/A,FALSE,"CORP"}</definedName>
    <definedName name="shiva" localSheetId="19" hidden="1">{#N/A,#N/A,FALSE,"O&amp;M by processes";#N/A,#N/A,FALSE,"Elec Act vs Bud";#N/A,#N/A,FALSE,"G&amp;A";#N/A,#N/A,FALSE,"BGS";#N/A,#N/A,FALSE,"Res Cost"}</definedName>
    <definedName name="shiva" localSheetId="13" hidden="1">{#N/A,#N/A,FALSE,"O&amp;M by processes";#N/A,#N/A,FALSE,"Elec Act vs Bud";#N/A,#N/A,FALSE,"G&amp;A";#N/A,#N/A,FALSE,"BGS";#N/A,#N/A,FALSE,"Res Cost"}</definedName>
    <definedName name="shiva" hidden="1">{#N/A,#N/A,FALSE,"O&amp;M by processes";#N/A,#N/A,FALSE,"Elec Act vs Bud";#N/A,#N/A,FALSE,"G&amp;A";#N/A,#N/A,FALSE,"BGS";#N/A,#N/A,FALSE,"Res Cost"}</definedName>
    <definedName name="solver_adj" hidden="1">#REF!</definedName>
    <definedName name="solver_drv" hidden="1">1</definedName>
    <definedName name="solver_est" hidden="1">1</definedName>
    <definedName name="solver_itr" hidden="1">100</definedName>
    <definedName name="solver_lhs1" hidden="1">#REF!</definedName>
    <definedName name="solver_lhs2" hidden="1">#REF!</definedName>
    <definedName name="solver_lin" hidden="1">0</definedName>
    <definedName name="solver_num" hidden="1">2</definedName>
    <definedName name="solver_nwt" hidden="1">1</definedName>
    <definedName name="solver_opt" hidden="1">#REF!</definedName>
    <definedName name="solver_pre" hidden="1">0.000001</definedName>
    <definedName name="solver_rel1" hidden="1">1</definedName>
    <definedName name="solver_rel2" hidden="1">3</definedName>
    <definedName name="solver_rhs1" hidden="1">50</definedName>
    <definedName name="solver_rhs2" hidden="1">0</definedName>
    <definedName name="solver_scl" hidden="1">0</definedName>
    <definedName name="solver_sho" hidden="1">0</definedName>
    <definedName name="solver_tim" hidden="1">100</definedName>
    <definedName name="solver_tmp" hidden="1">0</definedName>
    <definedName name="solver_tol" hidden="1">0.05</definedName>
    <definedName name="solver_typ" hidden="1">3</definedName>
    <definedName name="solver_val" hidden="1">10.9</definedName>
    <definedName name="SPS_COS" localSheetId="19">#REF!</definedName>
    <definedName name="SPS_COS">#REF!</definedName>
    <definedName name="SPWS_WBID">"6770D16C-B453-4883-9736-E9CCF832AEC8"</definedName>
    <definedName name="SSDD" hidden="1">#REF!</definedName>
    <definedName name="sss"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TATE">#REF!</definedName>
    <definedName name="statsrevised" localSheetId="19" hidden="1">{#N/A,#N/A,FALSE,"O&amp;M by processes";#N/A,#N/A,FALSE,"Elec Act vs Bud";#N/A,#N/A,FALSE,"G&amp;A";#N/A,#N/A,FALSE,"BGS";#N/A,#N/A,FALSE,"Res Cost"}</definedName>
    <definedName name="statsrevised" localSheetId="13" hidden="1">{#N/A,#N/A,FALSE,"O&amp;M by processes";#N/A,#N/A,FALSE,"Elec Act vs Bud";#N/A,#N/A,FALSE,"G&amp;A";#N/A,#N/A,FALSE,"BGS";#N/A,#N/A,FALSE,"Res Cost"}</definedName>
    <definedName name="statsrevised" hidden="1">{#N/A,#N/A,FALSE,"O&amp;M by processes";#N/A,#N/A,FALSE,"Elec Act vs Bud";#N/A,#N/A,FALSE,"G&amp;A";#N/A,#N/A,FALSE,"BGS";#N/A,#N/A,FALSE,"Res Cost"}</definedName>
    <definedName name="stuff" hidden="1">#REF!</definedName>
    <definedName name="submi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bmi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pport" localSheetId="19" hidden="1">{#N/A,#N/A,FALSE,"O&amp;M by processes";#N/A,#N/A,FALSE,"Elec Act vs Bud";#N/A,#N/A,FALSE,"G&amp;A";#N/A,#N/A,FALSE,"BGS";#N/A,#N/A,FALSE,"Res Cost"}</definedName>
    <definedName name="support" localSheetId="13"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9" hidden="1">{#N/A,#N/A,FALSE,"O&amp;M by processes";#N/A,#N/A,FALSE,"Elec Act vs Bud";#N/A,#N/A,FALSE,"G&amp;A";#N/A,#N/A,FALSE,"BGS";#N/A,#N/A,FALSE,"Res Cost"}</definedName>
    <definedName name="supporti" localSheetId="13" hidden="1">{#N/A,#N/A,FALSE,"O&amp;M by processes";#N/A,#N/A,FALSE,"Elec Act vs Bud";#N/A,#N/A,FALSE,"G&amp;A";#N/A,#N/A,FALSE,"BGS";#N/A,#N/A,FALSE,"Res Cost"}</definedName>
    <definedName name="supporti" hidden="1">{#N/A,#N/A,FALSE,"O&amp;M by processes";#N/A,#N/A,FALSE,"Elec Act vs Bud";#N/A,#N/A,FALSE,"G&amp;A";#N/A,#N/A,FALSE,"BGS";#N/A,#N/A,FALSE,"Res Cost"}</definedName>
    <definedName name="Swvu.earnings." hidden="1">#REF!</definedName>
    <definedName name="TableName">"Dummy"</definedName>
    <definedName name="Target_List">#REF!</definedName>
    <definedName name="taxcalc" localSheetId="19">#REF!</definedName>
    <definedName name="taxcalc">#REF!</definedName>
    <definedName name="TaxTV">10%</definedName>
    <definedName name="TaxXL">5%</definedName>
    <definedName name="teagdz" localSheetId="19" hidden="1">{"Factsheet",#N/A,FALSE,"Fact";"Earnings",#N/A,FALSE,"Earnings";"BalanceSheet",#N/A,FALSE,"BalanceSheet";"Change in Cash",#N/A,FALSE,"CashFlow"}</definedName>
    <definedName name="teagdz" hidden="1">{"Factsheet",#N/A,FALSE,"Fact";"Earnings",#N/A,FALSE,"Earnings";"BalanceSheet",#N/A,FALSE,"BalanceSheet";"Change in Cash",#N/A,FALSE,"CashFlow"}</definedName>
    <definedName name="teo"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ss"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s"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sss"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7"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8"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9"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30"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40"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xtRefCopyRangeCount" hidden="1">4</definedName>
    <definedName name="thousand">1000</definedName>
    <definedName name="Time" hidden="1">"b1"</definedName>
    <definedName name="toma" localSheetId="19" hidden="1">{#N/A,#N/A,FALSE,"O&amp;M by processes";#N/A,#N/A,FALSE,"Elec Act vs Bud";#N/A,#N/A,FALSE,"G&amp;A";#N/A,#N/A,FALSE,"BGS";#N/A,#N/A,FALSE,"Res Cost"}</definedName>
    <definedName name="toma" localSheetId="13"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9" hidden="1">{#N/A,#N/A,FALSE,"O&amp;M by processes";#N/A,#N/A,FALSE,"Elec Act vs Bud";#N/A,#N/A,FALSE,"G&amp;A";#N/A,#N/A,FALSE,"BGS";#N/A,#N/A,FALSE,"Res Cost"}</definedName>
    <definedName name="tomb" localSheetId="13"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9" hidden="1">{#N/A,#N/A,FALSE,"O&amp;M by processes";#N/A,#N/A,FALSE,"Elec Act vs Bud";#N/A,#N/A,FALSE,"G&amp;A";#N/A,#N/A,FALSE,"BGS";#N/A,#N/A,FALSE,"Res Cost"}</definedName>
    <definedName name="tomc" localSheetId="13"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9" hidden="1">{#N/A,#N/A,FALSE,"O&amp;M by processes";#N/A,#N/A,FALSE,"Elec Act vs Bud";#N/A,#N/A,FALSE,"G&amp;A";#N/A,#N/A,FALSE,"BGS";#N/A,#N/A,FALSE,"Res Cost"}</definedName>
    <definedName name="tomd" localSheetId="13"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9" hidden="1">{#N/A,#N/A,FALSE,"O&amp;M by processes";#N/A,#N/A,FALSE,"Elec Act vs Bud";#N/A,#N/A,FALSE,"G&amp;A";#N/A,#N/A,FALSE,"BGS";#N/A,#N/A,FALSE,"Res Cost"}</definedName>
    <definedName name="tomx" localSheetId="13"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9" hidden="1">{#N/A,#N/A,FALSE,"O&amp;M by processes";#N/A,#N/A,FALSE,"Elec Act vs Bud";#N/A,#N/A,FALSE,"G&amp;A";#N/A,#N/A,FALSE,"BGS";#N/A,#N/A,FALSE,"Res Cost"}</definedName>
    <definedName name="tomy" localSheetId="13"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9" hidden="1">{#N/A,#N/A,FALSE,"O&amp;M by processes";#N/A,#N/A,FALSE,"Elec Act vs Bud";#N/A,#N/A,FALSE,"G&amp;A";#N/A,#N/A,FALSE,"BGS";#N/A,#N/A,FALSE,"Res Cost"}</definedName>
    <definedName name="tomz" localSheetId="13" hidden="1">{#N/A,#N/A,FALSE,"O&amp;M by processes";#N/A,#N/A,FALSE,"Elec Act vs Bud";#N/A,#N/A,FALSE,"G&amp;A";#N/A,#N/A,FALSE,"BGS";#N/A,#N/A,FALSE,"Res Cost"}</definedName>
    <definedName name="tomz" hidden="1">{#N/A,#N/A,FALSE,"O&amp;M by processes";#N/A,#N/A,FALSE,"Elec Act vs Bud";#N/A,#N/A,FALSE,"G&amp;A";#N/A,#N/A,FALSE,"BGS";#N/A,#N/A,FALSE,"Res Cost"}</definedName>
    <definedName name="Tota_Deferred">#REF!</definedName>
    <definedName name="tryertyrty" localSheetId="19" hidden="1">{#N/A,#N/A,FALSE,"Income Statement";#N/A,#N/A,FALSE,"Quarter IS";#N/A,#N/A,FALSE,"US E&amp;P";#N/A,#N/A,FALSE,"International E&amp;P";#N/A,#N/A,FALSE,"Chemicals"}</definedName>
    <definedName name="tryertyrty" hidden="1">{#N/A,#N/A,FALSE,"Income Statement";#N/A,#N/A,FALSE,"Quarter IS";#N/A,#N/A,FALSE,"US E&amp;P";#N/A,#N/A,FALSE,"International E&amp;P";#N/A,#N/A,FALSE,"Chemicals"}</definedName>
    <definedName name="tt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t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yertyerty" localSheetId="19"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ty"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yt" localSheetId="19" hidden="1">{TRUE,TRUE,-1.25,-15.5,604.5,343.5,FALSE,FALSE,TRUE,TRUE,0,1,2,1,13,1,4,4,TRUE,TRUE,3,TRUE,1,TRUE,80,"Swvu.qtr._.for._.IR.","ACwvu.qtr._.for._.IR.",#N/A,FALSE,FALSE,0.65,0.5,1.25,1,2,"","",TRUE,FALSE,FALSE,FALSE,1,#N/A,1,1,"=R1C1:R33C11",FALSE,#N/A,#N/A,FALSE,FALSE,FALSE,1,#N/A,#N/A,FALSE,FALSE,TRUE,TRUE,TRUE}</definedName>
    <definedName name="tyertyeryt" hidden="1">{TRUE,TRUE,-1.25,-15.5,604.5,343.5,FALSE,FALSE,TRUE,TRUE,0,1,2,1,13,1,4,4,TRUE,TRUE,3,TRUE,1,TRUE,80,"Swvu.qtr._.for._.IR.","ACwvu.qtr._.for._.IR.",#N/A,FALSE,FALSE,0.65,0.5,1.25,1,2,"","",TRUE,FALSE,FALSE,FALSE,1,#N/A,1,1,"=R1C1:R33C11",FALSE,#N/A,#N/A,FALSE,FALSE,FALSE,1,#N/A,#N/A,FALSE,FALSE,TRUE,TRUE,TRUE}</definedName>
    <definedName name="Typist" hidden="1">"b1"</definedName>
    <definedName name="UIO49X"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wu" localSheetId="19" hidden="1">{#N/A,#N/A,FALSE,"QTR Total";#N/A,#N/A,FALSE,"QTR ASNS";#N/A,#N/A,FALSE,"QTR PNCNS";#N/A,#N/A,FALSE,"QTR DSNS";#N/A,#N/A,FALSE,"QTR TNS"}</definedName>
    <definedName name="uwu" hidden="1">{#N/A,#N/A,FALSE,"QTR Total";#N/A,#N/A,FALSE,"QTR ASNS";#N/A,#N/A,FALSE,"QTR PNCNS";#N/A,#N/A,FALSE,"QTR DSNS";#N/A,#N/A,FALSE,"QTR TNS"}</definedName>
    <definedName name="v" localSheetId="19" hidden="1">{#N/A,#N/A,FALSE,"TOTFINAL";#N/A,#N/A,FALSE,"FINPLAN";#N/A,#N/A,FALSE,"TOTMOTADJ";#N/A,#N/A,FALSE,"tieEQ";#N/A,#N/A,FALSE,"G";#N/A,#N/A,FALSE,"ELIMS";#N/A,#N/A,FALSE,"NEXTEL ADJ";#N/A,#N/A,FALSE,"MIMS";#N/A,#N/A,FALSE,"LMPS";#N/A,#N/A,FALSE,"CNSS";#N/A,#N/A,FALSE,"CSS";#N/A,#N/A,FALSE,"MCG";#N/A,#N/A,FALSE,"AECS";#N/A,#N/A,FALSE,"SPS";#N/A,#N/A,FALSE,"CORP"}</definedName>
    <definedName name="v" hidden="1">{#N/A,#N/A,FALSE,"TOTFINAL";#N/A,#N/A,FALSE,"FINPLAN";#N/A,#N/A,FALSE,"TOTMOTADJ";#N/A,#N/A,FALSE,"tieEQ";#N/A,#N/A,FALSE,"G";#N/A,#N/A,FALSE,"ELIMS";#N/A,#N/A,FALSE,"NEXTEL ADJ";#N/A,#N/A,FALSE,"MIMS";#N/A,#N/A,FALSE,"LMPS";#N/A,#N/A,FALSE,"CNSS";#N/A,#N/A,FALSE,"CSS";#N/A,#N/A,FALSE,"MCG";#N/A,#N/A,FALSE,"AECS";#N/A,#N/A,FALSE,"SPS";#N/A,#N/A,FALSE,"CORP"}</definedName>
    <definedName name="Version" hidden="1">"a1"</definedName>
    <definedName name="vv"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vv"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3r345"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3r345"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RR" hidden="1">#REF!</definedName>
    <definedName name="we" localSheetId="19" hidden="1">{#N/A,#N/A,FALSE,"1997 WW (Short)";#N/A,#N/A,FALSE,"1997 RF Mfg";#N/A,#N/A,FALSE,"Ancillary-CSM";#N/A,#N/A,FALSE,"1997 Service"}</definedName>
    <definedName name="we" hidden="1">{#N/A,#N/A,FALSE,"1997 WW (Short)";#N/A,#N/A,FALSE,"1997 RF Mfg";#N/A,#N/A,FALSE,"Ancillary-CSM";#N/A,#N/A,FALSE,"1997 Service"}</definedName>
    <definedName name="wef"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wef" hidden="1">{TRUE,TRUE,-1.25,-15.5,604.5,343.5,FALSE,FALSE,TRUE,TRUE,0,1,#N/A,1,35,14.1666666666667,3,3,FALSE,TRUE,3,TRUE,1,TRUE,85,"Swvu.oil._.and._.gas._.details.","ACwvu.oil._.and._.gas._.details.",#N/A,FALSE,FALSE,0.75,0.75,1,1,1,"","",TRUE,FALSE,FALSE,FALSE,1,#N/A,1,1,"=R1C1:R59C11","=R1:R3",#N/A,#N/A,FALSE,FALSE,FALSE,1,#N/A,#N/A,FALSE,FALSE,TRUE,TRUE,TRUE}</definedName>
    <definedName name="WEFA"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FA"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rtewrtewrt" localSheetId="19"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ewrt"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w" localSheetId="19"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ewrtw"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wert" localSheetId="19" hidden="1">{"Factsheet",#N/A,FALSE,"Fact";"Earnings",#N/A,FALSE,"Earnings";"BalanceSheet",#N/A,FALSE,"BalanceSheet";"Change in Cash",#N/A,FALSE,"CashFlow";"Q Rating",#N/A,FALSE,"Q-Rating";"Dupont",#N/A,FALSE,"Dupont"}</definedName>
    <definedName name="wertwert" hidden="1">{"Factsheet",#N/A,FALSE,"Fact";"Earnings",#N/A,FALSE,"Earnings";"BalanceSheet",#N/A,FALSE,"BalanceSheet";"Change in Cash",#N/A,FALSE,"CashFlow";"Q Rating",#N/A,FALSE,"Q-Rating";"Dupont",#N/A,FALSE,"Dupont"}</definedName>
    <definedName name="wertwertewrt" localSheetId="19"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ewrt"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wer" localSheetId="19"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ertwertwer"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h" localSheetId="19" hidden="1">{#N/A,#N/A,FALSE,"O&amp;M by processes";#N/A,#N/A,FALSE,"Elec Act vs Bud";#N/A,#N/A,FALSE,"G&amp;A";#N/A,#N/A,FALSE,"BGS";#N/A,#N/A,FALSE,"Res Cost"}</definedName>
    <definedName name="wh" localSheetId="13"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9" hidden="1">{#N/A,#N/A,FALSE,"O&amp;M by processes";#N/A,#N/A,FALSE,"Elec Act vs Bud";#N/A,#N/A,FALSE,"G&amp;A";#N/A,#N/A,FALSE,"BGS";#N/A,#N/A,FALSE,"Res Cost"}</definedName>
    <definedName name="what" localSheetId="13" hidden="1">{#N/A,#N/A,FALSE,"O&amp;M by processes";#N/A,#N/A,FALSE,"Elec Act vs Bud";#N/A,#N/A,FALSE,"G&amp;A";#N/A,#N/A,FALSE,"BGS";#N/A,#N/A,FALSE,"Res Cost"}</definedName>
    <definedName name="what" hidden="1">{#N/A,#N/A,FALSE,"O&amp;M by processes";#N/A,#N/A,FALSE,"Elec Act vs Bud";#N/A,#N/A,FALSE,"G&amp;A";#N/A,#N/A,FALSE,"BGS";#N/A,#N/A,FALSE,"Res Cost"}</definedName>
    <definedName name="what2" localSheetId="19" hidden="1">{"Age 50; 100% - NPPC",#N/A,FALSE,"Age 50; 100%";"Age 50; 100% - PSC",#N/A,FALSE,"Age 50; 100%";"Age 50; 100% - Gain/Loss",#N/A,FALSE,"Age 50; 100%"}</definedName>
    <definedName name="what2" hidden="1">{"Age 50; 100% - NPPC",#N/A,FALSE,"Age 50; 100%";"Age 50; 100% - PSC",#N/A,FALSE,"Age 50; 100%";"Age 50; 100% - Gain/Loss",#N/A,FALSE,"Age 50; 100%"}</definedName>
    <definedName name="what3" localSheetId="19" hidden="1">{"Age 50; 50% - NPPC",#N/A,FALSE,"Age 50; 50%";"Age 50; 50% - PSC",#N/A,FALSE,"Age 50; 50%";"Age 50; 50% - Gain/Loss",#N/A,FALSE,"Age 50; 50%"}</definedName>
    <definedName name="what3" hidden="1">{"Age 50; 50% - NPPC",#N/A,FALSE,"Age 50; 50%";"Age 50; 50% - PSC",#N/A,FALSE,"Age 50; 50%";"Age 50; 50% - Gain/Loss",#N/A,FALSE,"Age 50; 50%"}</definedName>
    <definedName name="Whatwhat" localSheetId="19" hidden="1">{#N/A,#N/A,FALSE,"O&amp;M by processes";#N/A,#N/A,FALSE,"Elec Act vs Bud";#N/A,#N/A,FALSE,"G&amp;A";#N/A,#N/A,FALSE,"BGS";#N/A,#N/A,FALSE,"Res Cost"}</definedName>
    <definedName name="Whatwhat" localSheetId="13"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9" hidden="1">{#N/A,#N/A,FALSE,"O&amp;M by processes";#N/A,#N/A,FALSE,"Elec Act vs Bud";#N/A,#N/A,FALSE,"G&amp;A";#N/A,#N/A,FALSE,"BGS";#N/A,#N/A,FALSE,"Res Cost"}</definedName>
    <definedName name="who" localSheetId="13"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9" hidden="1">{#N/A,#N/A,FALSE,"O&amp;M by processes";#N/A,#N/A,FALSE,"Elec Act vs Bud";#N/A,#N/A,FALSE,"G&amp;A";#N/A,#N/A,FALSE,"BGS";#N/A,#N/A,FALSE,"Res Cost"}</definedName>
    <definedName name="whowho" localSheetId="13"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9" hidden="1">{#N/A,#N/A,FALSE,"O&amp;M by processes";#N/A,#N/A,FALSE,"Elec Act vs Bud";#N/A,#N/A,FALSE,"G&amp;A";#N/A,#N/A,FALSE,"BGS";#N/A,#N/A,FALSE,"Res Cost"}</definedName>
    <definedName name="whwh" localSheetId="13"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9" hidden="1">{#N/A,#N/A,FALSE,"O&amp;M by processes";#N/A,#N/A,FALSE,"Elec Act vs Bud";#N/A,#N/A,FALSE,"G&amp;A";#N/A,#N/A,FALSE,"BGS";#N/A,#N/A,FALSE,"Res Cost"}</definedName>
    <definedName name="why" localSheetId="13" hidden="1">{#N/A,#N/A,FALSE,"O&amp;M by processes";#N/A,#N/A,FALSE,"Elec Act vs Bud";#N/A,#N/A,FALSE,"G&amp;A";#N/A,#N/A,FALSE,"BGS";#N/A,#N/A,FALSE,"Res Cost"}</definedName>
    <definedName name="why" hidden="1">{#N/A,#N/A,FALSE,"O&amp;M by processes";#N/A,#N/A,FALSE,"Elec Act vs Bud";#N/A,#N/A,FALSE,"G&amp;A";#N/A,#N/A,FALSE,"BGS";#N/A,#N/A,FALSE,"Res Cost"}</definedName>
    <definedName name="WO">#REF!</definedName>
    <definedName name="WOList">#REF!</definedName>
    <definedName name="w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 localSheetId="19" hidden="1">{#N/A,#N/A,FALSE,"O&amp;M by processes";#N/A,#N/A,FALSE,"Elec Act vs Bud";#N/A,#N/A,FALSE,"G&amp;A";#N/A,#N/A,FALSE,"BGS";#N/A,#N/A,FALSE,"Res Cost"}</definedName>
    <definedName name="wrn" localSheetId="13" hidden="1">{#N/A,#N/A,FALSE,"O&amp;M by processes";#N/A,#N/A,FALSE,"Elec Act vs Bud";#N/A,#N/A,FALSE,"G&amp;A";#N/A,#N/A,FALSE,"BGS";#N/A,#N/A,FALSE,"Res Cost"}</definedName>
    <definedName name="wrn" hidden="1">{#N/A,#N/A,FALSE,"O&amp;M by processes";#N/A,#N/A,FALSE,"Elec Act vs Bud";#N/A,#N/A,FALSE,"G&amp;A";#N/A,#N/A,FALSE,"BGS";#N/A,#N/A,FALSE,"Res Cost"}</definedName>
    <definedName name="wrn.01_All_Packag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1_All_Packag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2_PCS."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3_Corporate." localSheetId="19" hidden="1">{#N/A,#N/A,FALSE,"BS_CORPORATE"}</definedName>
    <definedName name="wrn.03_Corporate." hidden="1">{#N/A,#N/A,FALSE,"BS_CORPORATE"}</definedName>
    <definedName name="wrn.03_Corporate._1" localSheetId="19" hidden="1">{#N/A,#N/A,FALSE,"BS_CORPORATE"}</definedName>
    <definedName name="wrn.03_Corporate._1" hidden="1">{#N/A,#N/A,FALSE,"BS_CORPORATE"}</definedName>
    <definedName name="wrn.03_Corporate._2" localSheetId="19" hidden="1">{#N/A,#N/A,FALSE,"BS_CORPORATE"}</definedName>
    <definedName name="wrn.03_Corporate._2" hidden="1">{#N/A,#N/A,FALSE,"BS_CORPORATE"}</definedName>
    <definedName name="wrn.03_Corporate._3" localSheetId="19" hidden="1">{#N/A,#N/A,FALSE,"BS_CORPORATE"}</definedName>
    <definedName name="wrn.03_Corporate._3" hidden="1">{#N/A,#N/A,FALSE,"BS_CORPORATE"}</definedName>
    <definedName name="wrn.03_Corporate._4" localSheetId="19" hidden="1">{#N/A,#N/A,FALSE,"BS_CORPORATE"}</definedName>
    <definedName name="wrn.03_Corporate._4" hidden="1">{#N/A,#N/A,FALSE,"BS_CORPORATE"}</definedName>
    <definedName name="wrn.03_Corporate._5" localSheetId="19" hidden="1">{#N/A,#N/A,FALSE,"BS_CORPORATE"}</definedName>
    <definedName name="wrn.03_Corporate._5" hidden="1">{#N/A,#N/A,FALSE,"BS_CORPORATE"}</definedName>
    <definedName name="wrn.03_NSS."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4_ESG." localSheetId="19" hidden="1">{#N/A,#N/A,FALSE,"BS_ESG ";#N/A,#N/A,FALSE,"P&amp;L_ESG"}</definedName>
    <definedName name="wrn.04_ESG." hidden="1">{#N/A,#N/A,FALSE,"BS_ESG ";#N/A,#N/A,FALSE,"P&amp;L_ESG"}</definedName>
    <definedName name="wrn.04_ESG._1" localSheetId="19" hidden="1">{#N/A,#N/A,FALSE,"BS_ESG ";#N/A,#N/A,FALSE,"P&amp;L_ESG"}</definedName>
    <definedName name="wrn.04_ESG._1" hidden="1">{#N/A,#N/A,FALSE,"BS_ESG ";#N/A,#N/A,FALSE,"P&amp;L_ESG"}</definedName>
    <definedName name="wrn.04_ESG._2" localSheetId="19" hidden="1">{#N/A,#N/A,FALSE,"BS_ESG ";#N/A,#N/A,FALSE,"P&amp;L_ESG"}</definedName>
    <definedName name="wrn.04_ESG._2" hidden="1">{#N/A,#N/A,FALSE,"BS_ESG ";#N/A,#N/A,FALSE,"P&amp;L_ESG"}</definedName>
    <definedName name="wrn.04_ESG._3" localSheetId="19" hidden="1">{#N/A,#N/A,FALSE,"BS_ESG ";#N/A,#N/A,FALSE,"P&amp;L_ESG"}</definedName>
    <definedName name="wrn.04_ESG._3" hidden="1">{#N/A,#N/A,FALSE,"BS_ESG ";#N/A,#N/A,FALSE,"P&amp;L_ESG"}</definedName>
    <definedName name="wrn.04_ESG._4" localSheetId="19" hidden="1">{#N/A,#N/A,FALSE,"BS_ESG ";#N/A,#N/A,FALSE,"P&amp;L_ESG"}</definedName>
    <definedName name="wrn.04_ESG._4" hidden="1">{#N/A,#N/A,FALSE,"BS_ESG ";#N/A,#N/A,FALSE,"P&amp;L_ESG"}</definedName>
    <definedName name="wrn.04_ESG._5" localSheetId="19" hidden="1">{#N/A,#N/A,FALSE,"BS_ESG ";#N/A,#N/A,FALSE,"P&amp;L_ESG"}</definedName>
    <definedName name="wrn.04_ESG._5" hidden="1">{#N/A,#N/A,FALSE,"BS_ESG ";#N/A,#N/A,FALSE,"P&amp;L_ESG"}</definedName>
    <definedName name="wrn.05_SPS." localSheetId="19" hidden="1">{#N/A,#N/A,FALSE,"Balance SPS";#N/A,#N/A,FALSE,"P&amp;L_SPS"}</definedName>
    <definedName name="wrn.05_SPS." hidden="1">{#N/A,#N/A,FALSE,"Balance SPS";#N/A,#N/A,FALSE,"P&amp;L_SPS"}</definedName>
    <definedName name="wrn.05_SPS._1" localSheetId="19" hidden="1">{#N/A,#N/A,FALSE,"Balance SPS";#N/A,#N/A,FALSE,"P&amp;L_SPS"}</definedName>
    <definedName name="wrn.05_SPS._1" hidden="1">{#N/A,#N/A,FALSE,"Balance SPS";#N/A,#N/A,FALSE,"P&amp;L_SPS"}</definedName>
    <definedName name="wrn.05_SPS._2" localSheetId="19" hidden="1">{#N/A,#N/A,FALSE,"Balance SPS";#N/A,#N/A,FALSE,"P&amp;L_SPS"}</definedName>
    <definedName name="wrn.05_SPS._2" hidden="1">{#N/A,#N/A,FALSE,"Balance SPS";#N/A,#N/A,FALSE,"P&amp;L_SPS"}</definedName>
    <definedName name="wrn.05_SPS._3" localSheetId="19" hidden="1">{#N/A,#N/A,FALSE,"Balance SPS";#N/A,#N/A,FALSE,"P&amp;L_SPS"}</definedName>
    <definedName name="wrn.05_SPS._3" hidden="1">{#N/A,#N/A,FALSE,"Balance SPS";#N/A,#N/A,FALSE,"P&amp;L_SPS"}</definedName>
    <definedName name="wrn.05_SPS._4" localSheetId="19" hidden="1">{#N/A,#N/A,FALSE,"Balance SPS";#N/A,#N/A,FALSE,"P&amp;L_SPS"}</definedName>
    <definedName name="wrn.05_SPS._4" hidden="1">{#N/A,#N/A,FALSE,"Balance SPS";#N/A,#N/A,FALSE,"P&amp;L_SPS"}</definedName>
    <definedName name="wrn.05_SPS._5" localSheetId="19" hidden="1">{#N/A,#N/A,FALSE,"Balance SPS";#N/A,#N/A,FALSE,"P&amp;L_SPS"}</definedName>
    <definedName name="wrn.05_SPS._5" hidden="1">{#N/A,#N/A,FALSE,"Balance SPS";#N/A,#N/A,FALSE,"P&amp;L_SPS"}</definedName>
    <definedName name="wrn.1_Complete._.Package._.less._.Backup." localSheetId="19"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_Complete._.Package._.less._.Backup."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995._.Federal._.Tax._.Installments." localSheetId="19" hidden="1">{#N/A,#N/A,TRUE,"TAX CALC";#N/A,#N/A,TRUE,"TI SUMMARY";#N/A,#N/A,TRUE,"AMT";#N/A,#N/A,TRUE,"ETR REVIEW"}</definedName>
    <definedName name="wrn.1995._.Federal._.Tax._.Installments." hidden="1">{#N/A,#N/A,TRUE,"TAX CALC";#N/A,#N/A,TRUE,"TI SUMMARY";#N/A,#N/A,TRUE,"AMT";#N/A,#N/A,TRUE,"ETR REVIEW"}</definedName>
    <definedName name="wrn.2_PCS."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hidden="1">{#N/A,#N/A,FALSE,"Cover";#N/A,#N/A,FALSE,"General Assumptions";#N/A,#N/A,FALSE,"Comments CCS";#N/A,#N/A,FALSE,"BS CSS";#N/A,#N/A,FALSE,"P&amp;L CSS";#N/A,#N/A,FALSE,"Cash Flow CSS";#N/A,#N/A,FALSE,"MBR CSS";#N/A,#N/A,FALSE,"Headcount - CSS";#N/A,#N/A,FALSE,"CSS MFG";#N/A,#N/A,FALSE,"CSS Distr ";#N/A,#N/A,FALSE,"CSS Inventory";#N/A,#N/A,FALSE,"Capital CSS"}</definedName>
    <definedName name="wrn.3_CIG." localSheetId="19" hidden="1">{#N/A,#N/A,FALSE,"Cover";#N/A,#N/A,FALSE,"General Assumptions";#N/A,#N/A,FALSE,"Comments CIG";#N/A,#N/A,FALSE,"BS CIG";#N/A,#N/A,FALSE,"P&amp;L CIG";#N/A,#N/A,FALSE,"Cash Flow CIG";#N/A,#N/A,FALSE,"MBR CIG";#N/A,#N/A,FALSE,"Headcount - CIG";#N/A,#N/A,FALSE,"CIG MFG";#N/A,#N/A,FALSE,"CIG Inventory";#N/A,#N/A,FALSE,"Capital CIG"}</definedName>
    <definedName name="wrn.3_CIG." hidden="1">{#N/A,#N/A,FALSE,"Cover";#N/A,#N/A,FALSE,"General Assumptions";#N/A,#N/A,FALSE,"Comments CIG";#N/A,#N/A,FALSE,"BS CIG";#N/A,#N/A,FALSE,"P&amp;L CIG";#N/A,#N/A,FALSE,"Cash Flow CIG";#N/A,#N/A,FALSE,"MBR CIG";#N/A,#N/A,FALSE,"Headcount - CIG";#N/A,#N/A,FALSE,"CIG MFG";#N/A,#N/A,FALSE,"CIG Inventory";#N/A,#N/A,FALSE,"Capital CIG"}</definedName>
    <definedName name="wrn.3_CIG._1" localSheetId="19" hidden="1">{#N/A,#N/A,FALSE,"Cover";#N/A,#N/A,FALSE,"General Assumptions";#N/A,#N/A,FALSE,"Comments CIG";#N/A,#N/A,FALSE,"BS CIG";#N/A,#N/A,FALSE,"P&amp;L CIG";#N/A,#N/A,FALSE,"Cash Flow CIG";#N/A,#N/A,FALSE,"MBR CIG";#N/A,#N/A,FALSE,"Headcount - CIG";#N/A,#N/A,FALSE,"CIG MFG";#N/A,#N/A,FALSE,"CIG Inventory";#N/A,#N/A,FALSE,"Capital CIG"}</definedName>
    <definedName name="wrn.3_CIG._1" hidden="1">{#N/A,#N/A,FALSE,"Cover";#N/A,#N/A,FALSE,"General Assumptions";#N/A,#N/A,FALSE,"Comments CIG";#N/A,#N/A,FALSE,"BS CIG";#N/A,#N/A,FALSE,"P&amp;L CIG";#N/A,#N/A,FALSE,"Cash Flow CIG";#N/A,#N/A,FALSE,"MBR CIG";#N/A,#N/A,FALSE,"Headcount - CIG";#N/A,#N/A,FALSE,"CIG MFG";#N/A,#N/A,FALSE,"CIG Inventory";#N/A,#N/A,FALSE,"Capital CIG"}</definedName>
    <definedName name="wrn.3_CIG._2" localSheetId="19" hidden="1">{#N/A,#N/A,FALSE,"Cover";#N/A,#N/A,FALSE,"General Assumptions";#N/A,#N/A,FALSE,"Comments CIG";#N/A,#N/A,FALSE,"BS CIG";#N/A,#N/A,FALSE,"P&amp;L CIG";#N/A,#N/A,FALSE,"Cash Flow CIG";#N/A,#N/A,FALSE,"MBR CIG";#N/A,#N/A,FALSE,"Headcount - CIG";#N/A,#N/A,FALSE,"CIG MFG";#N/A,#N/A,FALSE,"CIG Inventory";#N/A,#N/A,FALSE,"Capital CIG"}</definedName>
    <definedName name="wrn.3_CIG._2" hidden="1">{#N/A,#N/A,FALSE,"Cover";#N/A,#N/A,FALSE,"General Assumptions";#N/A,#N/A,FALSE,"Comments CIG";#N/A,#N/A,FALSE,"BS CIG";#N/A,#N/A,FALSE,"P&amp;L CIG";#N/A,#N/A,FALSE,"Cash Flow CIG";#N/A,#N/A,FALSE,"MBR CIG";#N/A,#N/A,FALSE,"Headcount - CIG";#N/A,#N/A,FALSE,"CIG MFG";#N/A,#N/A,FALSE,"CIG Inventory";#N/A,#N/A,FALSE,"Capital CIG"}</definedName>
    <definedName name="wrn.3_CIG._3" localSheetId="19" hidden="1">{#N/A,#N/A,FALSE,"Cover";#N/A,#N/A,FALSE,"General Assumptions";#N/A,#N/A,FALSE,"Comments CIG";#N/A,#N/A,FALSE,"BS CIG";#N/A,#N/A,FALSE,"P&amp;L CIG";#N/A,#N/A,FALSE,"Cash Flow CIG";#N/A,#N/A,FALSE,"MBR CIG";#N/A,#N/A,FALSE,"Headcount - CIG";#N/A,#N/A,FALSE,"CIG MFG";#N/A,#N/A,FALSE,"CIG Inventory";#N/A,#N/A,FALSE,"Capital CIG"}</definedName>
    <definedName name="wrn.3_CIG._3" hidden="1">{#N/A,#N/A,FALSE,"Cover";#N/A,#N/A,FALSE,"General Assumptions";#N/A,#N/A,FALSE,"Comments CIG";#N/A,#N/A,FALSE,"BS CIG";#N/A,#N/A,FALSE,"P&amp;L CIG";#N/A,#N/A,FALSE,"Cash Flow CIG";#N/A,#N/A,FALSE,"MBR CIG";#N/A,#N/A,FALSE,"Headcount - CIG";#N/A,#N/A,FALSE,"CIG MFG";#N/A,#N/A,FALSE,"CIG Inventory";#N/A,#N/A,FALSE,"Capital CIG"}</definedName>
    <definedName name="wrn.3_CIG._4" localSheetId="19" hidden="1">{#N/A,#N/A,FALSE,"Cover";#N/A,#N/A,FALSE,"General Assumptions";#N/A,#N/A,FALSE,"Comments CIG";#N/A,#N/A,FALSE,"BS CIG";#N/A,#N/A,FALSE,"P&amp;L CIG";#N/A,#N/A,FALSE,"Cash Flow CIG";#N/A,#N/A,FALSE,"MBR CIG";#N/A,#N/A,FALSE,"Headcount - CIG";#N/A,#N/A,FALSE,"CIG MFG";#N/A,#N/A,FALSE,"CIG Inventory";#N/A,#N/A,FALSE,"Capital CIG"}</definedName>
    <definedName name="wrn.3_CIG._4" hidden="1">{#N/A,#N/A,FALSE,"Cover";#N/A,#N/A,FALSE,"General Assumptions";#N/A,#N/A,FALSE,"Comments CIG";#N/A,#N/A,FALSE,"BS CIG";#N/A,#N/A,FALSE,"P&amp;L CIG";#N/A,#N/A,FALSE,"Cash Flow CIG";#N/A,#N/A,FALSE,"MBR CIG";#N/A,#N/A,FALSE,"Headcount - CIG";#N/A,#N/A,FALSE,"CIG MFG";#N/A,#N/A,FALSE,"CIG Inventory";#N/A,#N/A,FALSE,"Capital CIG"}</definedName>
    <definedName name="wrn.3_CIG._5" localSheetId="19" hidden="1">{#N/A,#N/A,FALSE,"Cover";#N/A,#N/A,FALSE,"General Assumptions";#N/A,#N/A,FALSE,"Comments CIG";#N/A,#N/A,FALSE,"BS CIG";#N/A,#N/A,FALSE,"P&amp;L CIG";#N/A,#N/A,FALSE,"Cash Flow CIG";#N/A,#N/A,FALSE,"MBR CIG";#N/A,#N/A,FALSE,"Headcount - CIG";#N/A,#N/A,FALSE,"CIG MFG";#N/A,#N/A,FALSE,"CIG Inventory";#N/A,#N/A,FALSE,"Capital CIG"}</definedName>
    <definedName name="wrn.3_CIG._5" hidden="1">{#N/A,#N/A,FALSE,"Cover";#N/A,#N/A,FALSE,"General Assumptions";#N/A,#N/A,FALSE,"Comments CIG";#N/A,#N/A,FALSE,"BS CIG";#N/A,#N/A,FALSE,"P&amp;L CIG";#N/A,#N/A,FALSE,"Cash Flow CIG";#N/A,#N/A,FALSE,"MBR CIG";#N/A,#N/A,FALSE,"Headcount - CIG";#N/A,#N/A,FALSE,"CIG MFG";#N/A,#N/A,FALSE,"CIG Inventory";#N/A,#N/A,FALSE,"Capital CIG"}</definedName>
    <definedName name="wrn.4_iDEN."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5_Total._.Back._.Up." localSheetId="19" hidden="1">{#N/A,#N/A,FALSE,"BACK UP CIG";#N/A,#N/A,FALSE,"BACK UP Balance FDM";#N/A,#N/A,FALSE,"BACK UP ASP nsad";#N/A,#N/A,FALSE,"BACK UP CORPORATE"}</definedName>
    <definedName name="wrn.5_Total._.Back._.Up." hidden="1">{#N/A,#N/A,FALSE,"BACK UP CIG";#N/A,#N/A,FALSE,"BACK UP Balance FDM";#N/A,#N/A,FALSE,"BACK UP ASP nsad";#N/A,#N/A,FALSE,"BACK UP CORPORATE"}</definedName>
    <definedName name="wrn.5_Total._.Back._.Up._1" localSheetId="19" hidden="1">{#N/A,#N/A,FALSE,"BACK UP CIG";#N/A,#N/A,FALSE,"BACK UP Balance FDM";#N/A,#N/A,FALSE,"BACK UP ASP nsad";#N/A,#N/A,FALSE,"BACK UP CORPORATE"}</definedName>
    <definedName name="wrn.5_Total._.Back._.Up._1" hidden="1">{#N/A,#N/A,FALSE,"BACK UP CIG";#N/A,#N/A,FALSE,"BACK UP Balance FDM";#N/A,#N/A,FALSE,"BACK UP ASP nsad";#N/A,#N/A,FALSE,"BACK UP CORPORATE"}</definedName>
    <definedName name="wrn.5_Total._.Back._.Up._2" localSheetId="19" hidden="1">{#N/A,#N/A,FALSE,"BACK UP CIG";#N/A,#N/A,FALSE,"BACK UP Balance FDM";#N/A,#N/A,FALSE,"BACK UP ASP nsad";#N/A,#N/A,FALSE,"BACK UP CORPORATE"}</definedName>
    <definedName name="wrn.5_Total._.Back._.Up._2" hidden="1">{#N/A,#N/A,FALSE,"BACK UP CIG";#N/A,#N/A,FALSE,"BACK UP Balance FDM";#N/A,#N/A,FALSE,"BACK UP ASP nsad";#N/A,#N/A,FALSE,"BACK UP CORPORATE"}</definedName>
    <definedName name="wrn.5_Total._.Back._.Up._3" localSheetId="19" hidden="1">{#N/A,#N/A,FALSE,"BACK UP CIG";#N/A,#N/A,FALSE,"BACK UP Balance FDM";#N/A,#N/A,FALSE,"BACK UP ASP nsad";#N/A,#N/A,FALSE,"BACK UP CORPORATE"}</definedName>
    <definedName name="wrn.5_Total._.Back._.Up._3" hidden="1">{#N/A,#N/A,FALSE,"BACK UP CIG";#N/A,#N/A,FALSE,"BACK UP Balance FDM";#N/A,#N/A,FALSE,"BACK UP ASP nsad";#N/A,#N/A,FALSE,"BACK UP CORPORATE"}</definedName>
    <definedName name="wrn.5_Total._.Back._.Up._4" localSheetId="19" hidden="1">{#N/A,#N/A,FALSE,"BACK UP CIG";#N/A,#N/A,FALSE,"BACK UP Balance FDM";#N/A,#N/A,FALSE,"BACK UP ASP nsad";#N/A,#N/A,FALSE,"BACK UP CORPORATE"}</definedName>
    <definedName name="wrn.5_Total._.Back._.Up._4" hidden="1">{#N/A,#N/A,FALSE,"BACK UP CIG";#N/A,#N/A,FALSE,"BACK UP Balance FDM";#N/A,#N/A,FALSE,"BACK UP ASP nsad";#N/A,#N/A,FALSE,"BACK UP CORPORATE"}</definedName>
    <definedName name="wrn.5_Total._.Back._.Up._5" localSheetId="19" hidden="1">{#N/A,#N/A,FALSE,"BACK UP CIG";#N/A,#N/A,FALSE,"BACK UP Balance FDM";#N/A,#N/A,FALSE,"BACK UP ASP nsad";#N/A,#N/A,FALSE,"BACK UP CORPORATE"}</definedName>
    <definedName name="wrn.5_Total._.Back._.Up._5" hidden="1">{#N/A,#N/A,FALSE,"BACK UP CIG";#N/A,#N/A,FALSE,"BACK UP Balance FDM";#N/A,#N/A,FALSE,"BACK UP ASP nsad";#N/A,#N/A,FALSE,"BACK UP CORPORATE"}</definedName>
    <definedName name="wrn.722." localSheetId="19" hidden="1">{#N/A,#N/A,FALSE,"CURRENT"}</definedName>
    <definedName name="wrn.722." localSheetId="13" hidden="1">{#N/A,#N/A,FALSE,"CURRENT"}</definedName>
    <definedName name="wrn.722." hidden="1">{#N/A,#N/A,FALSE,"CURRENT"}</definedName>
    <definedName name="wrn.Accounting._.May." localSheetId="19" hidden="1">{#N/A,#N/A,TRUE,"Sum(2)";#N/A,#N/A,TRUE,"bs";#N/A,#N/A,TRUE,"pnl";#N/A,#N/A,TRUE,"BY DEPT 9605";#N/A,#N/A,TRUE,"BY S/A 9605"}</definedName>
    <definedName name="wrn.Accounting._.May." hidden="1">{#N/A,#N/A,TRUE,"Sum(2)";#N/A,#N/A,TRUE,"bs";#N/A,#N/A,TRUE,"pnl";#N/A,#N/A,TRUE,"BY DEPT 9605";#N/A,#N/A,TRUE,"BY S/A 9605"}</definedName>
    <definedName name="wrn.AGT." localSheetId="19" hidden="1">{"AGT",#N/A,FALSE,"Revenue"}</definedName>
    <definedName name="wrn.AGT." localSheetId="13" hidden="1">{"AGT",#N/A,FALSE,"Revenue"}</definedName>
    <definedName name="wrn.AGT." hidden="1">{"AGT",#N/A,FALSE,"Revenue"}</definedName>
    <definedName name="wrn.all." localSheetId="19"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_.Data." localSheetId="19"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Data."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Sheets." localSheetId="19" hidden="1">{#N/A,#N/A,TRUE,"Blank";#N/A,#N/A,TRUE,"Report - Portrait";#N/A,#N/A,TRUE,"Report - Landscape";#N/A,#N/A,TRUE,"FAS87 Results"}</definedName>
    <definedName name="wrn.All._.Sheets." hidden="1">{#N/A,#N/A,TRUE,"Blank";#N/A,#N/A,TRUE,"Report - Portrait";#N/A,#N/A,TRUE,"Report - Landscape";#N/A,#N/A,TRUE,"FAS87 Results"}</definedName>
    <definedName name="wrn.All_Package." localSheetId="19"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ncg." localSheetId="19" hidden="1">{"summary",#N/A,FALSE,"summary";"liabsumm",#N/A,FALSE,"liabsumm";"gl",#N/A,FALSE,"gl";"gl2",#N/A,FALSE,"gl2";"exp",#N/A,FALSE,"exp";"ancg_amort",#N/A,FALSE,"ancg_amort";"recon",#N/A,FALSE,"recon"}</definedName>
    <definedName name="wrn.ancg." hidden="1">{"summary",#N/A,FALSE,"summary";"liabsumm",#N/A,FALSE,"liabsumm";"gl",#N/A,FALSE,"gl";"gl2",#N/A,FALSE,"gl2";"exp",#N/A,FALSE,"exp";"ancg_amort",#N/A,FALSE,"ancg_amort";"recon",#N/A,FALSE,"recon"}</definedName>
    <definedName name="wrn.Appendix._.for._.Quote." localSheetId="19"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ppendix._.for._.Quote."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R._.Meeting._.Schedule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ugust._.1._.2003._.Rate._.Change." localSheetId="19"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ckup._.Corporate." localSheetId="19" hidden="1">{#N/A,#N/A,FALSE,"BACK UP CORPORATE"}</definedName>
    <definedName name="wrn.Backup._.Corporate." hidden="1">{#N/A,#N/A,FALSE,"BACK UP CORPORATE"}</definedName>
    <definedName name="wrn.Backup._.Corporate._1" localSheetId="19" hidden="1">{#N/A,#N/A,FALSE,"BACK UP CORPORATE"}</definedName>
    <definedName name="wrn.Backup._.Corporate._1" hidden="1">{#N/A,#N/A,FALSE,"BACK UP CORPORATE"}</definedName>
    <definedName name="wrn.Backup._.Corporate._2" localSheetId="19" hidden="1">{#N/A,#N/A,FALSE,"BACK UP CORPORATE"}</definedName>
    <definedName name="wrn.Backup._.Corporate._2" hidden="1">{#N/A,#N/A,FALSE,"BACK UP CORPORATE"}</definedName>
    <definedName name="wrn.Backup._.Corporate._3" localSheetId="19" hidden="1">{#N/A,#N/A,FALSE,"BACK UP CORPORATE"}</definedName>
    <definedName name="wrn.Backup._.Corporate._3" hidden="1">{#N/A,#N/A,FALSE,"BACK UP CORPORATE"}</definedName>
    <definedName name="wrn.Backup._.Corporate._4" localSheetId="19" hidden="1">{#N/A,#N/A,FALSE,"BACK UP CORPORATE"}</definedName>
    <definedName name="wrn.Backup._.Corporate._4" hidden="1">{#N/A,#N/A,FALSE,"BACK UP CORPORATE"}</definedName>
    <definedName name="wrn.Backup._.Corporate._5" localSheetId="19" hidden="1">{#N/A,#N/A,FALSE,"BACK UP CORPORATE"}</definedName>
    <definedName name="wrn.Backup._.Corporate._5" hidden="1">{#N/A,#N/A,FALSE,"BACK UP CORPORATE"}</definedName>
    <definedName name="wrn.Balance._.Sheet._.with._.details." localSheetId="19" hidden="1">{"Balance Sheet",#N/A,FALSE,"Balance";"Balance Sheet Details",#N/A,FALSE,"Balance"}</definedName>
    <definedName name="wrn.Balance._.Sheet._.with._.details." hidden="1">{"Balance Sheet",#N/A,FALSE,"Balance";"Balance Sheet Details",#N/A,FALSE,"Balance"}</definedName>
    <definedName name="wrn.Basic." localSheetId="19" hidden="1">{#N/A,#N/A,FALSE,"O&amp;M by processes";#N/A,#N/A,FALSE,"Elec Act vs Bud";#N/A,#N/A,FALSE,"G&amp;A";#N/A,#N/A,FALSE,"BGS";#N/A,#N/A,FALSE,"Res Cost"}</definedName>
    <definedName name="wrn.Basic." localSheetId="13" hidden="1">{#N/A,#N/A,FALSE,"O&amp;M by processes";#N/A,#N/A,FALSE,"Elec Act vs Bud";#N/A,#N/A,FALSE,"G&amp;A";#N/A,#N/A,FALSE,"BGS";#N/A,#N/A,FALSE,"Res Cost"}</definedName>
    <definedName name="wrn.Basic." hidden="1">{#N/A,#N/A,FALSE,"O&amp;M by processes";#N/A,#N/A,FALSE,"Elec Act vs Bud";#N/A,#N/A,FALSE,"G&amp;A";#N/A,#N/A,FALSE,"BGS";#N/A,#N/A,FALSE,"Res Cost"}</definedName>
    <definedName name="wrn.Business._.Plan." localSheetId="19"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usiness._.Plan."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Y._.YEAR." localSheetId="19" hidden="1">{#N/A,#N/A,FALSE,"Total";#N/A,#N/A,FALSE,"ASNS";#N/A,#N/A,FALSE,"PNCNS";#N/A,#N/A,FALSE,"DSNS";#N/A,#N/A,FALSE,"TNS"}</definedName>
    <definedName name="wrn.BY._.YEAR." hidden="1">{#N/A,#N/A,FALSE,"Total";#N/A,#N/A,FALSE,"ASNS";#N/A,#N/A,FALSE,"PNCNS";#N/A,#N/A,FALSE,"DSNS";#N/A,#N/A,FALSE,"TNS"}</definedName>
    <definedName name="wrn.calcs." localSheetId="19" hidden="1">{"calcs1",#N/A,FALSE,"Calcs";"calcs2",#N/A,FALSE,"Calcs"}</definedName>
    <definedName name="wrn.calcs." hidden="1">{"calcs1",#N/A,FALSE,"Calcs";"calcs2",#N/A,FALSE,"Calcs"}</definedName>
    <definedName name="wrn.CBd750" localSheetId="19" hidden="1">{"CBd750-IP(FAS87)",#N/A,FALSE,"CBd750";"CBd750-Dyn(FAS87)",#N/A,FALSE,"CBd750";"CBd750-IP(G/L)",#N/A,FALSE,"CBd750";"CBd750-Dyn(G/L)",#N/A,FALSE,"CBd750";"CBd750-Both(Amort)",#N/A,FALSE,"CBd750"}</definedName>
    <definedName name="wrn.CBd750" hidden="1">{"CBd750-IP(FAS87)",#N/A,FALSE,"CBd750";"CBd750-Dyn(FAS87)",#N/A,FALSE,"CBd750";"CBd750-IP(G/L)",#N/A,FALSE,"CBd750";"CBd750-Dyn(G/L)",#N/A,FALSE,"CBd750";"CBd750-Both(Amort)",#N/A,FALSE,"CBd750"}</definedName>
    <definedName name="wrn.ChartSet." localSheetId="19" hidden="1">{#N/A,#N/A,FALSE,"Elec Deliv";#N/A,#N/A,FALSE,"Atlantic Pie";#N/A,#N/A,FALSE,"Bay Pie";#N/A,#N/A,FALSE,"New Castle Pie";#N/A,#N/A,FALSE,"Transmission Pie"}</definedName>
    <definedName name="wrn.ChartSet." localSheetId="13"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hemical._.Summary." localSheetId="19" hidden="1">{"US Chemical Summary",#N/A,FALSE,"USChem";"Foreign Chemical Summary",#N/A,FALSE,"ForChem"}</definedName>
    <definedName name="wrn.Chemical._.Summary." hidden="1">{"US Chemical Summary",#N/A,FALSE,"USChem";"Foreign Chemical Summary",#N/A,FALSE,"ForChem"}</definedName>
    <definedName name="wrn.CIG."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Back._.up._.Files." localSheetId="19" hidden="1">{#N/A,#N/A,FALSE,"BACK UP CIG"}</definedName>
    <definedName name="wrn.CIG._.Back._.up._.Files." hidden="1">{#N/A,#N/A,FALSE,"BACK UP CIG"}</definedName>
    <definedName name="wrn.CIG._.Back._.up._.Files._1" localSheetId="19" hidden="1">{#N/A,#N/A,FALSE,"BACK UP CIG"}</definedName>
    <definedName name="wrn.CIG._.Back._.up._.Files._1" hidden="1">{#N/A,#N/A,FALSE,"BACK UP CIG"}</definedName>
    <definedName name="wrn.CIG._.Back._.up._.Files._2" localSheetId="19" hidden="1">{#N/A,#N/A,FALSE,"BACK UP CIG"}</definedName>
    <definedName name="wrn.CIG._.Back._.up._.Files._2" hidden="1">{#N/A,#N/A,FALSE,"BACK UP CIG"}</definedName>
    <definedName name="wrn.CIG._.Back._.up._.Files._3" localSheetId="19" hidden="1">{#N/A,#N/A,FALSE,"BACK UP CIG"}</definedName>
    <definedName name="wrn.CIG._.Back._.up._.Files._3" hidden="1">{#N/A,#N/A,FALSE,"BACK UP CIG"}</definedName>
    <definedName name="wrn.CIG._.Back._.up._.Files._4" localSheetId="19" hidden="1">{#N/A,#N/A,FALSE,"BACK UP CIG"}</definedName>
    <definedName name="wrn.CIG._.Back._.up._.Files._4" hidden="1">{#N/A,#N/A,FALSE,"BACK UP CIG"}</definedName>
    <definedName name="wrn.CIG._.Back._.up._.Files._5" localSheetId="19" hidden="1">{#N/A,#N/A,FALSE,"BACK UP CIG"}</definedName>
    <definedName name="wrn.CIG._.Back._.up._.Files._5" hidden="1">{#N/A,#N/A,FALSE,"BACK UP CIG"}</definedName>
    <definedName name="wrn.CIG.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PG._.All._.Sheets." localSheetId="19"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Black._.and._.White." localSheetId="19"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Color._.Charts." localSheetId="19" hidden="1">{#N/A,#N/A,FALSE,"4-up charts p.1";#N/A,#N/A,FALSE,"4-up charts p.2";#N/A,#N/A,FALSE," rate of ? qtr";#N/A,#N/A,FALSE,"Detail Rel rate of ? ";#N/A,#N/A,FALSE,"Inventory"}</definedName>
    <definedName name="wrn.CIPG._.Color._.Charts." hidden="1">{#N/A,#N/A,FALSE,"4-up charts p.1";#N/A,#N/A,FALSE,"4-up charts p.2";#N/A,#N/A,FALSE," rate of ? qtr";#N/A,#N/A,FALSE,"Detail Rel rate of ? ";#N/A,#N/A,FALSE,"Inventory"}</definedName>
    <definedName name="wrn.ClientReport." localSheetId="19" hidden="1">{"Summary",#N/A,FALSE,"Summary";"Liabsumm",#N/A,FALSE,"Liabsumm";"Assets",#N/A,FALSE,"Assets";"GL",#N/A,FALSE,"GL";"GL2",#N/A,FALSE,"GL2";"amort",#N/A,FALSE,"amort";"Recon",#N/A,FALSE,"Recon";"FAS1321",#N/A,FALSE,"FAS1321";"FAS1322",#N/A,FALSE,"FAS1322"}</definedName>
    <definedName name="wrn.ClientReport." hidden="1">{"Summary",#N/A,FALSE,"Summary";"Liabsumm",#N/A,FALSE,"Liabsumm";"Assets",#N/A,FALSE,"Assets";"GL",#N/A,FALSE,"GL";"GL2",#N/A,FALSE,"GL2";"amort",#N/A,FALSE,"amort";"Recon",#N/A,FALSE,"Recon";"FAS1321",#N/A,FALSE,"FAS1321";"FAS1322",#N/A,FALSE,"FAS1322"}</definedName>
    <definedName name="wrn.company." localSheetId="19"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any."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lete_Package."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mplete_Package."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ver_financials." localSheetId="19" hidden="1">{"Factsheet",#N/A,FALSE,"Fact";"Earnings",#N/A,FALSE,"Earnings";"BalanceSheet",#N/A,FALSE,"BalanceSheet";"Change in Cash",#N/A,FALSE,"CashFlow"}</definedName>
    <definedName name="wrn.Cover_financials." hidden="1">{"Factsheet",#N/A,FALSE,"Fact";"Earnings",#N/A,FALSE,"Earnings";"BalanceSheet",#N/A,FALSE,"BalanceSheet";"Change in Cash",#N/A,FALSE,"CashFlow"}</definedName>
    <definedName name="wrn.Data._.dump." localSheetId="19" hidden="1">{"Input Data",#N/A,FALSE,"Input";"Income and Cash Flow",#N/A,FALSE,"Calculations"}</definedName>
    <definedName name="wrn.Data._.dump." localSheetId="13" hidden="1">{"Input Data",#N/A,FALSE,"Input";"Income and Cash Flow",#N/A,FALSE,"Calculations"}</definedName>
    <definedName name="wrn.Data._.dump." hidden="1">{"Input Data",#N/A,FALSE,"Input";"Income and Cash Flow",#N/A,FALSE,"Calculations"}</definedName>
    <definedName name="wrn.Deferral._.Forecast." localSheetId="19" hidden="1">{"Summary Deferral Forecast",#N/A,FALSE,"Deferral Forecast";"BGS Deferral Forecast",#N/A,FALSE,"BGS Deferral";"NNC Deferral Forecast",#N/A,FALSE,"NNC Deferral";"MTCDeferralForecast",#N/A,FALSE,"MTC Deferral";"SBC Deferral Forecast",#N/A,FALSE,"SBC Deferral"}</definedName>
    <definedName name="wrn.Deferral._.Forecast." localSheetId="13"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_.Model._.with._.Detail." localSheetId="19" hidden="1">{"Earnings_Summary",#N/A,FALSE,"Earnings Model";"Earnings EP Detail",#N/A,FALSE,"Earnings Model";"Earnings RM Detail",#N/A,FALSE,"Earnings Model"}</definedName>
    <definedName name="wrn.Earn._.Model._.with._.Detail." hidden="1">{"Earnings_Summary",#N/A,FALSE,"Earnings Model";"Earnings EP Detail",#N/A,FALSE,"Earnings Model";"Earnings RM Detail",#N/A,FALSE,"Earnings Model"}</definedName>
    <definedName name="wrn.eoy." localSheetId="19"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_disc." localSheetId="19" hidden="1">{"pna_disc_p1",#N/A,FALSE,"pna_disc_p1";"apbo_plan",#N/A,FALSE,"apbo_plan";"anc_disc_p1",#N/A,FALSE,"anc_disc_p1";"anc_disc_p2",#N/A,FALSE,"anc_disc_p2";"pna_disc_p2",#N/A,FALSE,"pna_disc_p2"}</definedName>
    <definedName name="wrn.eoy_disc." hidden="1">{"pna_disc_p1",#N/A,FALSE,"pna_disc_p1";"apbo_plan",#N/A,FALSE,"apbo_plan";"anc_disc_p1",#N/A,FALSE,"anc_disc_p1";"anc_disc_p2",#N/A,FALSE,"anc_disc_p2";"pna_disc_p2",#N/A,FALSE,"pna_disc_p2"}</definedName>
    <definedName name="wrn.EOY_Disc2" localSheetId="19"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_Disc2"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pages." localSheetId="19" hidden="1">{"AR4",#N/A,FALSE,"act_liab_anc";"AR5",#N/A,FALSE,"act_liab_anc";"AR8",#N/A,FALSE,"act_liab_pppi";"AR9",#N/A,FALSE,"act_liab_pppi";"AR6",#N/A,FALSE,"inact_liab_anc";"AR7",#N/A,FALSE,"inact_liab_anc";"AR11",#N/A,FALSE,"inact_liab_pppi";"AR10",#N/A,FALSE,"inact_liab_pppi";"AR12",#N/A,FALSE,"risk_liab"}</definedName>
    <definedName name="wrn.eoypages." hidden="1">{"AR4",#N/A,FALSE,"act_liab_anc";"AR5",#N/A,FALSE,"act_liab_anc";"AR8",#N/A,FALSE,"act_liab_pppi";"AR9",#N/A,FALSE,"act_liab_pppi";"AR6",#N/A,FALSE,"inact_liab_anc";"AR7",#N/A,FALSE,"inact_liab_anc";"AR11",#N/A,FALSE,"inact_liab_pppi";"AR10",#N/A,FALSE,"inact_liab_pppi";"AR12",#N/A,FALSE,"risk_liab"}</definedName>
    <definedName name="wrn.EP._.DCF._.Valuation._.by._.Segment." localSheetId="19" hidden="1">{"US EP DCF Valuation",#N/A,FALSE,"USE&amp;P ";"Can EP DCF Valuation",#N/A,FALSE,"Can E&amp;P";"Eur EP DCF Valuation",#N/A,FALSE,"Eur E&amp;P";"ASPAC EP DCF Valuation",#N/A,FALSE,"Asia-Pac E&amp;P";"NonCon EP DCF Valuation",#N/A,FALSE,"Non-Con E&amp;P"}</definedName>
    <definedName name="wrn.EP._.DCF._.Valuation._.by._.Segment." hidden="1">{"US EP DCF Valuation",#N/A,FALSE,"USE&amp;P ";"Can EP DCF Valuation",#N/A,FALSE,"Can E&amp;P";"Eur EP DCF Valuation",#N/A,FALSE,"Eur E&amp;P";"ASPAC EP DCF Valuation",#N/A,FALSE,"Asia-Pac E&amp;P";"NonCon EP DCF Valuation",#N/A,FALSE,"Non-Con E&amp;P"}</definedName>
    <definedName name="wrn.ep._.details." localSheetId="19" hidden="1">{"us ep earnings",#N/A,FALSE,"US E&amp;P";"us ep price vol detail",#N/A,FALSE,"US E&amp;P";"fareast ep earnings",#N/A,FALSE,"Far East E&amp;P";"fareast ep price vol detail",#N/A,FALSE,"Far East E&amp;P";"other EP earnings",#N/A,FALSE,"Other E&amp;P";"other EP price vol detail",#N/A,FALSE,"Other E&amp;P"}</definedName>
    <definedName name="wrn.ep._.details." hidden="1">{"us ep earnings",#N/A,FALSE,"US E&amp;P";"us ep price vol detail",#N/A,FALSE,"US E&amp;P";"fareast ep earnings",#N/A,FALSE,"Far East E&amp;P";"fareast ep price vol detail",#N/A,FALSE,"Far East E&amp;P";"other EP earnings",#N/A,FALSE,"Other E&amp;P";"other EP price vol detail",#N/A,FALSE,"Other E&amp;P"}</definedName>
    <definedName name="wrn.EP._.Earns._.Detail._.by._.Segment." localSheetId="19"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P._.Earns._.Detail._.by._.Segment."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stimated._.Tax._.Annualized._.Method." localSheetId="19" hidden="1">{#N/A,#N/A,FALSE,"Summary";#N/A,#N/A,FALSE,"Adj to Option C";#N/A,#N/A,FALSE,"Dividend Analysis";#N/A,#N/A,FALSE,"Reserve Analysis";#N/A,#N/A,FALSE,"Depreciation";#N/A,#N/A,FALSE,"Other Tax Adj"}</definedName>
    <definedName name="wrn.Estimated._.Tax._.Annualized._.Method." hidden="1">{#N/A,#N/A,FALSE,"Summary";#N/A,#N/A,FALSE,"Adj to Option C";#N/A,#N/A,FALSE,"Dividend Analysis";#N/A,#N/A,FALSE,"Reserve Analysis";#N/A,#N/A,FALSE,"Depreciation";#N/A,#N/A,FALSE,"Other Tax Adj"}</definedName>
    <definedName name="wrn.FAS132." localSheetId="19" hidden="1">{"Disc_part1",#N/A,FALSE,"FAS132";"Disc_part2",#N/A,FALSE,"FAS132"}</definedName>
    <definedName name="wrn.FAS132." hidden="1">{"Disc_part1",#N/A,FALSE,"FAS132";"Disc_part2",#N/A,FALSE,"FAS132"}</definedName>
    <definedName name="wrn.Fas132.2" localSheetId="19" hidden="1">{"Disc_part1",#N/A,FALSE,"FAS132";"Disc_part2",#N/A,FALSE,"FAS132"}</definedName>
    <definedName name="wrn.Fas132.2" hidden="1">{"Disc_part1",#N/A,FALSE,"FAS132";"Disc_part2",#N/A,FALSE,"FAS132"}</definedName>
    <definedName name="wrn.Filing." localSheetId="19"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l._.Copies." localSheetId="19" hidden="1">{"PPPI FAS87",#N/A,FALSE,"PPPI";"GroupA",#N/A,FALSE,"GroupA";"GroupB",#N/A,FALSE,"GroupB";"GainLoss",#N/A,FALSE,"GainLoss1"}</definedName>
    <definedName name="wrn.Final._.Copies." hidden="1">{"PPPI FAS87",#N/A,FALSE,"PPPI";"GroupA",#N/A,FALSE,"GroupA";"GroupB",#N/A,FALSE,"GroupB";"GainLoss",#N/A,FALSE,"GainLoss1"}</definedName>
    <definedName name="wrn.FinalCopies." localSheetId="19" hidden="1">{"FinalAll-Dyn",#N/A,TRUE,"Total";"FinalPens-Dyn",#N/A,TRUE,"Pensions";"FinalOPEB-Dyn",#N/A,TRUE,"OPEB";"FinalAllRound-Dyn",#N/A,TRUE,"Total";"FinalAll-IP",#N/A,TRUE,"Total";"FinalPens-IP",#N/A,TRUE,"Pensions";"FinalAllRound-IP",#N/A,TRUE,"Total"}</definedName>
    <definedName name="wrn.FinalCopies." hidden="1">{"FinalAll-Dyn",#N/A,TRUE,"Total";"FinalPens-Dyn",#N/A,TRUE,"Pensions";"FinalOPEB-Dyn",#N/A,TRUE,"OPEB";"FinalAllRound-Dyn",#N/A,TRUE,"Total";"FinalAll-IP",#N/A,TRUE,"Total";"FinalPens-IP",#N/A,TRUE,"Pensions";"FinalAllRound-IP",#N/A,TRUE,"Total"}</definedName>
    <definedName name="wrn.Financials." localSheetId="19" hidden="1">{"Earnings",#N/A,FALSE,"Earnings";"BalanceSheet",#N/A,FALSE,"BalanceSheet";"Change in Cash",#N/A,FALSE,"CashFlow";"normalengs",#N/A,FALSE,"NormalEngs";"upstream normal per Bbl",#N/A,FALSE,"NormEngUp";"CAPEXsum",#N/A,FALSE,"CAPEX Sum"}</definedName>
    <definedName name="wrn.Financials." hidden="1">{"Earnings",#N/A,FALSE,"Earnings";"BalanceSheet",#N/A,FALSE,"BalanceSheet";"Change in Cash",#N/A,FALSE,"CashFlow";"normalengs",#N/A,FALSE,"NormalEngs";"upstream normal per Bbl",#N/A,FALSE,"NormEngUp";"CAPEXsum",#N/A,FALSE,"CAPEX Sum"}</definedName>
    <definedName name="wrn.For._.filling._.out._.assessments." localSheetId="19" hidden="1">{"Print Empty Template",#N/A,FALSE,"Input"}</definedName>
    <definedName name="wrn.For._.filling._.out._.assessments." localSheetId="13" hidden="1">{"Print Empty Template",#N/A,FALSE,"Input"}</definedName>
    <definedName name="wrn.For._.filling._.out._.assessments." hidden="1">{"Print Empty Template",#N/A,FALSE,"Input"}</definedName>
    <definedName name="wrn.For._.IR." localSheetId="19" hidden="1">{"Earnings",#N/A,TRUE,"Earnings";"qtr for IR",#N/A,TRUE,"Quarters";"balancesheet",#N/A,TRUE,"BalanceSheet";"change in cash",#N/A,TRUE,"CashFlow";"oil and gas earnings",#N/A,TRUE,"Oil and Gas Results";"price and vol detail",#N/A,TRUE,"Oil and Gas Results";"capexsum",#N/A,TRUE,"CAPEX Sum"}</definedName>
    <definedName name="wrn.For._.IR." hidden="1">{"Earnings",#N/A,TRUE,"Earnings";"qtr for IR",#N/A,TRUE,"Quarters";"balancesheet",#N/A,TRUE,"BalanceSheet";"change in cash",#N/A,TRUE,"CashFlow";"oil and gas earnings",#N/A,TRUE,"Oil and Gas Results";"price and vol detail",#N/A,TRUE,"Oil and Gas Results";"capexsum",#N/A,TRUE,"CAPEX Sum"}</definedName>
    <definedName name="wrn.for._.IR._.review." localSheetId="19" hidden="1">{"Earnings",#N/A,FALSE,"Earnings";"BalanceSheet",#N/A,FALSE,"BalanceSheet";"ChangeinCash",#N/A,FALSE,"CashFlow";"IR Production Sum",#N/A,FALSE,"E&amp;P Summary";"IR EPCost Sum",#N/A,FALSE,"E&amp;P Summary"}</definedName>
    <definedName name="wrn.for._.IR._.review." hidden="1">{"Earnings",#N/A,FALSE,"Earnings";"BalanceSheet",#N/A,FALSE,"BalanceSheet";"ChangeinCash",#N/A,FALSE,"CashFlow";"IR Production Sum",#N/A,FALSE,"E&amp;P Summary";"IR EPCost Sum",#N/A,FALSE,"E&amp;P Summary"}</definedName>
    <definedName name="wrn.For._.Merge." localSheetId="19"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Merge."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Report." localSheetId="19" hidden="1">{"Factsheet",#N/A,FALSE,"Fact";"Earnings",#N/A,FALSE,"Earnings";"BalanceSheet",#N/A,FALSE,"BalanceSheet";"Change in Cash",#N/A,FALSE,"CashFlow";"Q Rating",#N/A,FALSE,"Q-Rating";"Dupont",#N/A,FALSE,"Dupont"}</definedName>
    <definedName name="wrn.For._.Report." hidden="1">{"Factsheet",#N/A,FALSE,"Fact";"Earnings",#N/A,FALSE,"Earnings";"BalanceSheet",#N/A,FALSE,"BalanceSheet";"Change in Cash",#N/A,FALSE,"CashFlow";"Q Rating",#N/A,FALSE,"Q-Rating";"Dupont",#N/A,FALSE,"Dupont"}</definedName>
    <definedName name="wrn.Full._.Model." localSheetId="19"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Full._.Model."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HAReport." localSheetId="19" hidden="1">{"Input1",#N/A,FALSE,"Input";"Input2",#N/A,FALSE,"Input";"Input3",#N/A,FALSE,"Input2";"Calc1",#N/A,FALSE,"Calcs";"Calc2",#N/A,FALSE,"Calcs";"Liabsumm",#N/A,FALSE,"Liabsumm";"Summary",#N/A,FALSE,"Summary";"GL",#N/A,FALSE,"GL";"GL2",#N/A,FALSE,"GL2";"amort",#N/A,FALSE,"amort";"Recon",#N/A,FALSE,"Recon";"FAS1321",#N/A,FALSE,"FAS1321";"FAS1322",#N/A,FALSE,"FAS1322"}</definedName>
    <definedName name="wrn.HAReport." hidden="1">{"Input1",#N/A,FALSE,"Input";"Input2",#N/A,FALSE,"Input";"Input3",#N/A,FALSE,"Input2";"Calc1",#N/A,FALSE,"Calcs";"Calc2",#N/A,FALSE,"Calcs";"Liabsumm",#N/A,FALSE,"Liabsumm";"Summary",#N/A,FALSE,"Summary";"GL",#N/A,FALSE,"GL";"GL2",#N/A,FALSE,"GL2";"amort",#N/A,FALSE,"amort";"Recon",#N/A,FALSE,"Recon";"FAS1321",#N/A,FALSE,"FAS1321";"FAS1322",#N/A,FALSE,"FAS1322"}</definedName>
    <definedName name="wrn.Headcount." localSheetId="19" hidden="1">{#N/A,#N/A,FALSE,"Headcount_PCS ";#N/A,#N/A,FALSE,"Headcount CIG";#N/A,#N/A,FALSE,"Headcount iDEN";#N/A,#N/A,FALSE,"JAG PLANT TREND"}</definedName>
    <definedName name="wrn.Headcount." hidden="1">{#N/A,#N/A,FALSE,"Headcount_PCS ";#N/A,#N/A,FALSE,"Headcount CIG";#N/A,#N/A,FALSE,"Headcount iDEN";#N/A,#N/A,FALSE,"JAG PLANT TREND"}</definedName>
    <definedName name="wrn.Headcount._1" localSheetId="19" hidden="1">{#N/A,#N/A,FALSE,"Headcount_PCS ";#N/A,#N/A,FALSE,"Headcount CIG";#N/A,#N/A,FALSE,"Headcount iDEN";#N/A,#N/A,FALSE,"JAG PLANT TREND"}</definedName>
    <definedName name="wrn.Headcount._1" hidden="1">{#N/A,#N/A,FALSE,"Headcount_PCS ";#N/A,#N/A,FALSE,"Headcount CIG";#N/A,#N/A,FALSE,"Headcount iDEN";#N/A,#N/A,FALSE,"JAG PLANT TREND"}</definedName>
    <definedName name="wrn.Headcount._2" localSheetId="19" hidden="1">{#N/A,#N/A,FALSE,"Headcount_PCS ";#N/A,#N/A,FALSE,"Headcount CIG";#N/A,#N/A,FALSE,"Headcount iDEN";#N/A,#N/A,FALSE,"JAG PLANT TREND"}</definedName>
    <definedName name="wrn.Headcount._2" hidden="1">{#N/A,#N/A,FALSE,"Headcount_PCS ";#N/A,#N/A,FALSE,"Headcount CIG";#N/A,#N/A,FALSE,"Headcount iDEN";#N/A,#N/A,FALSE,"JAG PLANT TREND"}</definedName>
    <definedName name="wrn.Headcount._3" localSheetId="19" hidden="1">{#N/A,#N/A,FALSE,"Headcount_PCS ";#N/A,#N/A,FALSE,"Headcount CIG";#N/A,#N/A,FALSE,"Headcount iDEN";#N/A,#N/A,FALSE,"JAG PLANT TREND"}</definedName>
    <definedName name="wrn.Headcount._3" hidden="1">{#N/A,#N/A,FALSE,"Headcount_PCS ";#N/A,#N/A,FALSE,"Headcount CIG";#N/A,#N/A,FALSE,"Headcount iDEN";#N/A,#N/A,FALSE,"JAG PLANT TREND"}</definedName>
    <definedName name="wrn.Headcount._4" localSheetId="19" hidden="1">{#N/A,#N/A,FALSE,"Headcount_PCS ";#N/A,#N/A,FALSE,"Headcount CIG";#N/A,#N/A,FALSE,"Headcount iDEN";#N/A,#N/A,FALSE,"JAG PLANT TREND"}</definedName>
    <definedName name="wrn.Headcount._4" hidden="1">{#N/A,#N/A,FALSE,"Headcount_PCS ";#N/A,#N/A,FALSE,"Headcount CIG";#N/A,#N/A,FALSE,"Headcount iDEN";#N/A,#N/A,FALSE,"JAG PLANT TREND"}</definedName>
    <definedName name="wrn.Headcount._5" localSheetId="19" hidden="1">{#N/A,#N/A,FALSE,"Headcount_PCS ";#N/A,#N/A,FALSE,"Headcount CIG";#N/A,#N/A,FALSE,"Headcount iDEN";#N/A,#N/A,FALSE,"JAG PLANT TREND"}</definedName>
    <definedName name="wrn.Headcount._5" hidden="1">{#N/A,#N/A,FALSE,"Headcount_PCS ";#N/A,#N/A,FALSE,"Headcount CIG";#N/A,#N/A,FALSE,"Headcount iDEN";#N/A,#N/A,FALSE,"JAG PLANT TREND"}</definedName>
    <definedName name="wrn.HLP._.Detail." localSheetId="19" hidden="1">{"2002 - 2006 Detail Income Statement",#N/A,FALSE,"TUB Income Statement wo DW";"BGS Deferral",#N/A,FALSE,"BGS Deferral";"NNC Deferral",#N/A,FALSE,"NNC Deferral";"MTC Deferral",#N/A,FALSE,"MTC Deferral";#N/A,#N/A,FALSE,"Schedule D"}</definedName>
    <definedName name="wrn.HLP._.Detail." localSheetId="13"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IDEN."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Back._.up._.Files." localSheetId="19" hidden="1">{#N/A,#N/A,FALSE,"BACK UP Balance FDM";#N/A,#N/A,FALSE,"BACK UP ASP nsad"}</definedName>
    <definedName name="wrn.iDEN._.Back._.up._.Files." hidden="1">{#N/A,#N/A,FALSE,"BACK UP Balance FDM";#N/A,#N/A,FALSE,"BACK UP ASP nsad"}</definedName>
    <definedName name="wrn.iDEN._.Back._.up._.Files._1" localSheetId="19" hidden="1">{#N/A,#N/A,FALSE,"BACK UP Balance FDM";#N/A,#N/A,FALSE,"BACK UP ASP nsad"}</definedName>
    <definedName name="wrn.iDEN._.Back._.up._.Files._1" hidden="1">{#N/A,#N/A,FALSE,"BACK UP Balance FDM";#N/A,#N/A,FALSE,"BACK UP ASP nsad"}</definedName>
    <definedName name="wrn.iDEN._.Back._.up._.Files._2" localSheetId="19" hidden="1">{#N/A,#N/A,FALSE,"BACK UP Balance FDM";#N/A,#N/A,FALSE,"BACK UP ASP nsad"}</definedName>
    <definedName name="wrn.iDEN._.Back._.up._.Files._2" hidden="1">{#N/A,#N/A,FALSE,"BACK UP Balance FDM";#N/A,#N/A,FALSE,"BACK UP ASP nsad"}</definedName>
    <definedName name="wrn.iDEN._.Back._.up._.Files._3" localSheetId="19" hidden="1">{#N/A,#N/A,FALSE,"BACK UP Balance FDM";#N/A,#N/A,FALSE,"BACK UP ASP nsad"}</definedName>
    <definedName name="wrn.iDEN._.Back._.up._.Files._3" hidden="1">{#N/A,#N/A,FALSE,"BACK UP Balance FDM";#N/A,#N/A,FALSE,"BACK UP ASP nsad"}</definedName>
    <definedName name="wrn.iDEN._.Back._.up._.Files._4" localSheetId="19" hidden="1">{#N/A,#N/A,FALSE,"BACK UP Balance FDM";#N/A,#N/A,FALSE,"BACK UP ASP nsad"}</definedName>
    <definedName name="wrn.iDEN._.Back._.up._.Files._4" hidden="1">{#N/A,#N/A,FALSE,"BACK UP Balance FDM";#N/A,#N/A,FALSE,"BACK UP ASP nsad"}</definedName>
    <definedName name="wrn.iDEN._.Back._.up._.Files._5" localSheetId="19" hidden="1">{#N/A,#N/A,FALSE,"BACK UP Balance FDM";#N/A,#N/A,FALSE,"BACK UP ASP nsad"}</definedName>
    <definedName name="wrn.iDEN._.Back._.up._.Files._5" hidden="1">{#N/A,#N/A,FALSE,"BACK UP Balance FDM";#N/A,#N/A,FALSE,"BACK UP ASP nsad"}</definedName>
    <definedName name="wrn.IDEN.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nput._.pages." localSheetId="19" hidden="1">{"Input1",#N/A,FALSE,"Input";"Input2",#N/A,FALSE,"Input";"Input3",#N/A,FALSE,"Input"}</definedName>
    <definedName name="wrn.Input._.pages." hidden="1">{"Input1",#N/A,FALSE,"Input";"Input2",#N/A,FALSE,"Input";"Input3",#N/A,FALSE,"Input"}</definedName>
    <definedName name="wrn.IR._.Review." localSheetId="19"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IR._.Review."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Long._.Report." localSheetId="19" hidden="1">{#N/A,#N/A,TRUE,"Cover";#N/A,#N/A,TRUE,"Header (ld)";#N/A,#N/A,TRUE,"T&amp;O By Region";#N/A,#N/A,TRUE,"Region Charts ";#N/A,#N/A,TRUE,"T&amp;O London";#N/A,#N/A,TRUE,"AD Report";#N/A,#N/A,TRUE,"Var by OU"}</definedName>
    <definedName name="wrn.Long._.Report." hidden="1">{#N/A,#N/A,TRUE,"Cover";#N/A,#N/A,TRUE,"Header (ld)";#N/A,#N/A,TRUE,"T&amp;O By Region";#N/A,#N/A,TRUE,"Region Charts ";#N/A,#N/A,TRUE,"T&amp;O London";#N/A,#N/A,TRUE,"AD Report";#N/A,#N/A,TRUE,"Var by OU"}</definedName>
    <definedName name="wrn.MBRS." localSheetId="19" hidden="1">{#N/A,#N/A,FALSE,"MBR PCS";#N/A,#N/A,FALSE,"MBR CIG";#N/A,#N/A,FALSE,"MBR iDEN";#N/A,#N/A,FALSE,"MBR_FWT";#N/A,#N/A,FALSE,"MBR TOTAL"}</definedName>
    <definedName name="wrn.MBRS." hidden="1">{#N/A,#N/A,FALSE,"MBR PCS";#N/A,#N/A,FALSE,"MBR CIG";#N/A,#N/A,FALSE,"MBR iDEN";#N/A,#N/A,FALSE,"MBR_FWT";#N/A,#N/A,FALSE,"MBR TOTAL"}</definedName>
    <definedName name="wrn.MBRS._1" localSheetId="19" hidden="1">{#N/A,#N/A,FALSE,"MBR PCS";#N/A,#N/A,FALSE,"MBR CIG";#N/A,#N/A,FALSE,"MBR iDEN";#N/A,#N/A,FALSE,"MBR_FWT";#N/A,#N/A,FALSE,"MBR TOTAL"}</definedName>
    <definedName name="wrn.MBRS._1" hidden="1">{#N/A,#N/A,FALSE,"MBR PCS";#N/A,#N/A,FALSE,"MBR CIG";#N/A,#N/A,FALSE,"MBR iDEN";#N/A,#N/A,FALSE,"MBR_FWT";#N/A,#N/A,FALSE,"MBR TOTAL"}</definedName>
    <definedName name="wrn.MBRS._2" localSheetId="19" hidden="1">{#N/A,#N/A,FALSE,"MBR PCS";#N/A,#N/A,FALSE,"MBR CIG";#N/A,#N/A,FALSE,"MBR iDEN";#N/A,#N/A,FALSE,"MBR_FWT";#N/A,#N/A,FALSE,"MBR TOTAL"}</definedName>
    <definedName name="wrn.MBRS._2" hidden="1">{#N/A,#N/A,FALSE,"MBR PCS";#N/A,#N/A,FALSE,"MBR CIG";#N/A,#N/A,FALSE,"MBR iDEN";#N/A,#N/A,FALSE,"MBR_FWT";#N/A,#N/A,FALSE,"MBR TOTAL"}</definedName>
    <definedName name="wrn.MBRS._3" localSheetId="19" hidden="1">{#N/A,#N/A,FALSE,"MBR PCS";#N/A,#N/A,FALSE,"MBR CIG";#N/A,#N/A,FALSE,"MBR iDEN";#N/A,#N/A,FALSE,"MBR_FWT";#N/A,#N/A,FALSE,"MBR TOTAL"}</definedName>
    <definedName name="wrn.MBRS._3" hidden="1">{#N/A,#N/A,FALSE,"MBR PCS";#N/A,#N/A,FALSE,"MBR CIG";#N/A,#N/A,FALSE,"MBR iDEN";#N/A,#N/A,FALSE,"MBR_FWT";#N/A,#N/A,FALSE,"MBR TOTAL"}</definedName>
    <definedName name="wrn.MBRS._4" localSheetId="19" hidden="1">{#N/A,#N/A,FALSE,"MBR PCS";#N/A,#N/A,FALSE,"MBR CIG";#N/A,#N/A,FALSE,"MBR iDEN";#N/A,#N/A,FALSE,"MBR_FWT";#N/A,#N/A,FALSE,"MBR TOTAL"}</definedName>
    <definedName name="wrn.MBRS._4" hidden="1">{#N/A,#N/A,FALSE,"MBR PCS";#N/A,#N/A,FALSE,"MBR CIG";#N/A,#N/A,FALSE,"MBR iDEN";#N/A,#N/A,FALSE,"MBR_FWT";#N/A,#N/A,FALSE,"MBR TOTAL"}</definedName>
    <definedName name="wrn.MBRS._5" localSheetId="19" hidden="1">{#N/A,#N/A,FALSE,"MBR PCS";#N/A,#N/A,FALSE,"MBR CIG";#N/A,#N/A,FALSE,"MBR iDEN";#N/A,#N/A,FALSE,"MBR_FWT";#N/A,#N/A,FALSE,"MBR TOTAL"}</definedName>
    <definedName name="wrn.MBRS._5" hidden="1">{#N/A,#N/A,FALSE,"MBR PCS";#N/A,#N/A,FALSE,"MBR CIG";#N/A,#N/A,FALSE,"MBR iDEN";#N/A,#N/A,FALSE,"MBR_FWT";#N/A,#N/A,FALSE,"MBR TOTAL"}</definedName>
    <definedName name="wrn.new." localSheetId="19" hidden="1">{"Balance Sheet",#N/A,FALSE,"Balance";"Balance Sheet Details",#N/A,FALSE,"Balance";"Change in Cash",#N/A,FALSE,"Cashflow"}</definedName>
    <definedName name="wrn.new." hidden="1">{"Balance Sheet",#N/A,FALSE,"Balance";"Balance Sheet Details",#N/A,FALSE,"Balance";"Change in Cash",#N/A,FALSE,"Cashflow"}</definedName>
    <definedName name="wrn.NSS."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Outlook._.Report." localSheetId="19" hidden="1">{#N/A,#N/A,FALSE,"Outlook for Month ";#N/A,#N/A,FALSE,"Risk for Month ";#N/A,#N/A,FALSE,"Upside for Month"}</definedName>
    <definedName name="wrn.Outlook._.Report." hidden="1">{#N/A,#N/A,FALSE,"Outlook for Month ";#N/A,#N/A,FALSE,"Risk for Month ";#N/A,#N/A,FALSE,"Upside for Month"}</definedName>
    <definedName name="wrn.PCS."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CSG_PPG."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ppi." localSheetId="19"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ppi."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rice._.Details." localSheetId="19"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ce._.Details."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nt." localSheetId="19" hidden="1">{#N/A,#N/A,FALSE,"By Month";#N/A,#N/A,FALSE,"Rev By Month";"Print1",#N/A,FALSE,"NA Parts Reporting";"Print2",#N/A,FALSE,"NA Parts Reporting";"Print3",#N/A,FALSE,"NA Parts Reporting"}</definedName>
    <definedName name="wrn.Print." hidden="1">{#N/A,#N/A,FALSE,"By Month";#N/A,#N/A,FALSE,"Rev By Month";"Print1",#N/A,FALSE,"NA Parts Reporting";"Print2",#N/A,FALSE,"NA Parts Reporting";"Print3",#N/A,FALSE,"NA Parts Reporting"}</definedName>
    <definedName name="wrn.print_all." localSheetId="19"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_all."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all." localSheetId="19"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all."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It." localSheetId="19" hidden="1">{"Page1",#N/A,FALSE,"Page1";"Page2",#N/A,FALSE,"Page2";"Page3",#N/A,FALSE,"Pages34";"Page3b",#N/A,FALSE,"Pages34"}</definedName>
    <definedName name="wrn.PrintIt." hidden="1">{"Page1",#N/A,FALSE,"Page1";"Page2",#N/A,FALSE,"Page2";"Page3",#N/A,FALSE,"Pages34";"Page3b",#N/A,FALSE,"Pages34"}</definedName>
    <definedName name="wrn.purch._.acct." localSheetId="19" hidden="1">{"Pre76 purch acct",#N/A,FALSE,"Input";"ACPI purch acct",#N/A,FALSE,"Input";"25 Yr Purch Acct",#N/A,FALSE,"Input";"RBEP Purch Acct.",#N/A,FALSE,"Input"}</definedName>
    <definedName name="wrn.purch._.acct." hidden="1">{"Pre76 purch acct",#N/A,FALSE,"Input";"ACPI purch acct",#N/A,FALSE,"Input";"25 Yr Purch Acct",#N/A,FALSE,"Input";"RBEP Purch Acct.",#N/A,FALSE,"Input"}</definedName>
    <definedName name="wrn.QUARTER." localSheetId="19" hidden="1">{#N/A,#N/A,FALSE,"QTR Total";#N/A,#N/A,FALSE,"QTR ASNS";#N/A,#N/A,FALSE,"QTR PNCNS";#N/A,#N/A,FALSE,"QTR DSNS";#N/A,#N/A,FALSE,"QTR TNS"}</definedName>
    <definedName name="wrn.QUARTER." hidden="1">{#N/A,#N/A,FALSE,"QTR Total";#N/A,#N/A,FALSE,"QTR ASNS";#N/A,#N/A,FALSE,"QTR PNCNS";#N/A,#N/A,FALSE,"QTR DSNS";#N/A,#N/A,FALSE,"QTR TNS"}</definedName>
    <definedName name="wrn.Report." localSheetId="19" hidden="1">{#N/A,#N/A,FALSE,"Work performed";#N/A,#N/A,FALSE,"Resources"}</definedName>
    <definedName name="wrn.Report." localSheetId="13" hidden="1">{#N/A,#N/A,FALSE,"Work performed";#N/A,#N/A,FALSE,"Resources"}</definedName>
    <definedName name="wrn.Report." hidden="1">{#N/A,#N/A,FALSE,"Work performed";#N/A,#N/A,FALSE,"Resources"}</definedName>
    <definedName name="wrn.Revenue._.Analysis." localSheetId="19"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M._.with._.details." localSheetId="19" hidden="1">{"US RM Earnings Summary",#N/A,FALSE,"US R&amp;M";"US RM Realization Data",#N/A,FALSE,"US R&amp;M";"For RM Earnings Detail",#N/A,FALSE,"Foreign R&amp;M";"For RM Real and Vol Detail",#N/A,FALSE,"Foreign R&amp;M"}</definedName>
    <definedName name="wrn.RM._.with._.details." hidden="1">{"US RM Earnings Summary",#N/A,FALSE,"US R&amp;M";"US RM Realization Data",#N/A,FALSE,"US R&amp;M";"For RM Earnings Detail",#N/A,FALSE,"Foreign R&amp;M";"For RM Real and Vol Detail",#N/A,FALSE,"Foreign R&amp;M"}</definedName>
    <definedName name="wrn.RPT." localSheetId="19" hidden="1">{#N/A,#N/A,FALSE,"TOTFINAL";#N/A,#N/A,FALSE,"FINPLAN";#N/A,#N/A,FALSE,"TOTMOTADJ";#N/A,#N/A,FALSE,"tieEQ";#N/A,#N/A,FALSE,"G";#N/A,#N/A,FALSE,"ELIMS";#N/A,#N/A,FALSE,"NEXTEL ADJ";#N/A,#N/A,FALSE,"MIMS";#N/A,#N/A,FALSE,"LMPS";#N/A,#N/A,FALSE,"CNSS";#N/A,#N/A,FALSE,"CSS";#N/A,#N/A,FALSE,"MCG";#N/A,#N/A,FALSE,"AECS";#N/A,#N/A,FALSE,"SPS";#N/A,#N/A,FALSE,"CORP"}</definedName>
    <definedName name="wrn.RPT." hidden="1">{#N/A,#N/A,FALSE,"TOTFINAL";#N/A,#N/A,FALSE,"FINPLAN";#N/A,#N/A,FALSE,"TOTMOTADJ";#N/A,#N/A,FALSE,"tieEQ";#N/A,#N/A,FALSE,"G";#N/A,#N/A,FALSE,"ELIMS";#N/A,#N/A,FALSE,"NEXTEL ADJ";#N/A,#N/A,FALSE,"MIMS";#N/A,#N/A,FALSE,"LMPS";#N/A,#N/A,FALSE,"CNSS";#N/A,#N/A,FALSE,"CSS";#N/A,#N/A,FALSE,"MCG";#N/A,#N/A,FALSE,"AECS";#N/A,#N/A,FALSE,"SPS";#N/A,#N/A,FALSE,"CORP"}</definedName>
    <definedName name="wrn.Short._.Report." localSheetId="19" hidden="1">{#N/A,#N/A,TRUE,"Cover";#N/A,#N/A,TRUE,"Header (eu)";#N/A,#N/A,TRUE,"Region Charts";#N/A,#N/A,TRUE,"T&amp;O By Region";#N/A,#N/A,TRUE,"AD Report"}</definedName>
    <definedName name="wrn.Short._.Report." hidden="1">{#N/A,#N/A,TRUE,"Cover";#N/A,#N/A,TRUE,"Header (eu)";#N/A,#N/A,TRUE,"Region Charts";#N/A,#N/A,TRUE,"T&amp;O By Region";#N/A,#N/A,TRUE,"AD Report"}</definedName>
    <definedName name="wrn.Steves._.Model." localSheetId="19" hidden="1">{#N/A,#N/A,FALSE,"Income Statement";#N/A,#N/A,FALSE,"Quarter IS";#N/A,#N/A,FALSE,"US E&amp;P";#N/A,#N/A,FALSE,"International E&amp;P";#N/A,#N/A,FALSE,"Chemicals"}</definedName>
    <definedName name="wrn.Steves._.Model." hidden="1">{#N/A,#N/A,FALSE,"Income Statement";#N/A,#N/A,FALSE,"Quarter IS";#N/A,#N/A,FALSE,"US E&amp;P";#N/A,#N/A,FALSE,"International E&amp;P";#N/A,#N/A,FALSE,"Chemicals"}</definedName>
    <definedName name="wrn.Summary._.Report_Ern_BS_CF." localSheetId="19" hidden="1">{"Fact Sheet",#N/A,FALSE,"Fact";"Earnings_Summary",#N/A,FALSE,"Earnings Model";"Balance Sheet",#N/A,FALSE,"Balance";"Change in Cash",#N/A,FALSE,"Cashflow";"normalengs",#N/A,FALSE,"NormalEngs";"NormalGrowth",#N/A,FALSE,"NormalGrowth"}</definedName>
    <definedName name="wrn.Summary._.Report_Ern_BS_CF." hidden="1">{"Fact Sheet",#N/A,FALSE,"Fact";"Earnings_Summary",#N/A,FALSE,"Earnings Model";"Balance Sheet",#N/A,FALSE,"Balance";"Change in Cash",#N/A,FALSE,"Cashflow";"normalengs",#N/A,FALSE,"NormalEngs";"NormalGrowth",#N/A,FALSE,"NormalGrowth"}</definedName>
    <definedName name="wrn.Supporting._.Calculations." localSheetId="19" hidden="1">{#N/A,#N/A,FALSE,"Work performed";#N/A,#N/A,FALSE,"Resources"}</definedName>
    <definedName name="wrn.Supporting._.Calculations." localSheetId="13" hidden="1">{#N/A,#N/A,FALSE,"Work performed";#N/A,#N/A,FALSE,"Resources"}</definedName>
    <definedName name="wrn.Supporting._.Calculations." hidden="1">{#N/A,#N/A,FALSE,"Work performed";#N/A,#N/A,FALSE,"Resources"}</definedName>
    <definedName name="wrn.Tax._.Accrual." localSheetId="19" hidden="1">{#N/A,#N/A,TRUE,"TAXPROV";#N/A,#N/A,TRUE,"FLOWTHRU";#N/A,#N/A,TRUE,"SCHEDULE M'S";#N/A,#N/A,TRUE,"PLANT M'S";#N/A,#N/A,TRUE,"TAXJE"}</definedName>
    <definedName name="wrn.Tax._.Accrual." localSheetId="13" hidden="1">{#N/A,#N/A,TRUE,"TAXPROV";#N/A,#N/A,TRUE,"FLOWTHRU";#N/A,#N/A,TRUE,"SCHEDULE M'S";#N/A,#N/A,TRUE,"PLANT M'S";#N/A,#N/A,TRUE,"TAXJE"}</definedName>
    <definedName name="wrn.Tax._.Accrual." hidden="1">{#N/A,#N/A,TRUE,"TAXPROV";#N/A,#N/A,TRUE,"FLOWTHRU";#N/A,#N/A,TRUE,"SCHEDULE M'S";#N/A,#N/A,TRUE,"PLANT M'S";#N/A,#N/A,TRUE,"TAXJE"}</definedName>
    <definedName name="wrn.test." localSheetId="19" hidden="1">{"test",#N/A,FALSE,"Dividend"}</definedName>
    <definedName name="wrn.test." hidden="1">{"test",#N/A,FALSE,"Dividend"}</definedName>
    <definedName name="wrn.US._.EP._.with._.Price._.and._.Vol._.Detail." localSheetId="19" hidden="1">{"US EP Earn and Prof Analysis",#N/A,FALSE,"USE&amp;P ";"US EP Price Vol Detail",#N/A,FALSE,"USE&amp;P "}</definedName>
    <definedName name="wrn.US._.EP._.with._.Price._.and._.Vol._.Detail." hidden="1">{"US EP Earn and Prof Analysis",#N/A,FALSE,"USE&amp;P ";"US EP Price Vol Detail",#N/A,FALSE,"USE&amp;P "}</definedName>
    <definedName name="wrn.Val_Report." localSheetId="19" hidden="1">{"Summary CY",#N/A,FALSE,"Summary";"Summary PY",#N/A,FALSE,"Summary";"recon_funded_status",#N/A,FALSE,"Accounting";"PE",#N/A,FALSE,"Accounting";"EXPE",#N/A,FALSE,"Accounting";"EXPAS",#N/A,FALSE,"Accounting";"EXPL",#N/A,FALSE,"Accounting"}</definedName>
    <definedName name="wrn.Val_Report." hidden="1">{"Summary CY",#N/A,FALSE,"Summary";"Summary PY",#N/A,FALSE,"Summary";"recon_funded_status",#N/A,FALSE,"Accounting";"PE",#N/A,FALSE,"Accounting";"EXPE",#N/A,FALSE,"Accounting";"EXPAS",#N/A,FALSE,"Accounting";"EXPL",#N/A,FALSE,"Accounting"}</definedName>
    <definedName name="wrn.Val_Report.2" localSheetId="19" hidden="1">{"Summary CY",#N/A,FALSE,"Summary";"Summary PY",#N/A,FALSE,"Summary";"recon_funded_status",#N/A,FALSE,"Accounting";"PE",#N/A,FALSE,"Accounting";"EXPE",#N/A,FALSE,"Accounting";"EXPAS",#N/A,FALSE,"Accounting";"EXPL",#N/A,FALSE,"Accounting"}</definedName>
    <definedName name="wrn.Val_Report.2" hidden="1">{"Summary CY",#N/A,FALSE,"Summary";"Summary PY",#N/A,FALSE,"Summary";"recon_funded_status",#N/A,FALSE,"Accounting";"PE",#N/A,FALSE,"Accounting";"EXPE",#N/A,FALSE,"Accounting";"EXPAS",#N/A,FALSE,"Accounting";"EXPL",#N/A,FALSE,"Accounting"}</definedName>
    <definedName name="wrn.Val_Report2" localSheetId="19" hidden="1">{"CUR",#N/A,FALSE,"Summary";"recon",#N/A,FALSE,"Accounting";"PE",#N/A,FALSE,"Accounting";"EXPE",#N/A,FALSE,"Accounting";"EXPAS",#N/A,FALSE,"Accounting";"EXPL",#N/A,FALSE,"Accounting"}</definedName>
    <definedName name="wrn.Val_Report2" hidden="1">{"CUR",#N/A,FALSE,"Summary";"recon",#N/A,FALSE,"Accounting";"PE",#N/A,FALSE,"Accounting";"EXPE",#N/A,FALSE,"Accounting";"EXPAS",#N/A,FALSE,"Accounting";"EXPL",#N/A,FALSE,"Accounting"}</definedName>
    <definedName name="wrn.Workfile." localSheetId="19" hidden="1">{"PPPI FAS87 Workfile",#N/A,FALSE,"Input";"GroupBWorkfile",#N/A,FALSE,"Input";"GroupAWorkfile",#N/A,FALSE,"Input";"GainLoss",#N/A,FALSE,"GainLoss1"}</definedName>
    <definedName name="wrn.Workfile." hidden="1">{"PPPI FAS87 Workfile",#N/A,FALSE,"Input";"GroupBWorkfile",#N/A,FALSE,"Input";"GroupAWorkfile",#N/A,FALSE,"Input";"GainLoss",#N/A,FALSE,"GainLoss1"}</definedName>
    <definedName name="wrn.WorkfileCopies." localSheetId="19" hidden="1">{"PensWorkfile-Dyn",#N/A,TRUE,"Pensions";"PenWorkFile-IP",#N/A,TRUE,"Pensions";"OPEBWorkfile-Dyn",#N/A,TRUE,"OPEB";"OPEBWorkfile-IP",#N/A,TRUE,"OPEB";"Total-Dyn",#N/A,TRUE,"Total";"Total-IP",#N/A,TRUE,"Total"}</definedName>
    <definedName name="wrn.WorkfileCopies." hidden="1">{"PensWorkfile-Dyn",#N/A,TRUE,"Pensions";"PenWorkFile-IP",#N/A,TRUE,"Pensions";"OPEBWorkfile-Dyn",#N/A,TRUE,"OPEB";"OPEBWorkfile-IP",#N/A,TRUE,"OPEB";"Total-Dyn",#N/A,TRUE,"Total";"Total-IP",#N/A,TRUE,"Total"}</definedName>
    <definedName name="wrn_1" localSheetId="19" hidden="1">{#N/A,#N/A,FALSE,"Balance SPS";#N/A,#N/A,FALSE,"P&amp;L_SPS"}</definedName>
    <definedName name="wrn_1" hidden="1">{#N/A,#N/A,FALSE,"Balance SPS";#N/A,#N/A,FALSE,"P&amp;L_SPS"}</definedName>
    <definedName name="wrn_2" localSheetId="19" hidden="1">{#N/A,#N/A,FALSE,"Balance SPS";#N/A,#N/A,FALSE,"P&amp;L_SPS"}</definedName>
    <definedName name="wrn_2" hidden="1">{#N/A,#N/A,FALSE,"Balance SPS";#N/A,#N/A,FALSE,"P&amp;L_SPS"}</definedName>
    <definedName name="wrn_3" localSheetId="19" hidden="1">{#N/A,#N/A,FALSE,"Balance SPS";#N/A,#N/A,FALSE,"P&amp;L_SPS"}</definedName>
    <definedName name="wrn_3" hidden="1">{#N/A,#N/A,FALSE,"Balance SPS";#N/A,#N/A,FALSE,"P&amp;L_SPS"}</definedName>
    <definedName name="wrn_4" localSheetId="19" hidden="1">{#N/A,#N/A,FALSE,"Balance SPS";#N/A,#N/A,FALSE,"P&amp;L_SPS"}</definedName>
    <definedName name="wrn_4" hidden="1">{#N/A,#N/A,FALSE,"Balance SPS";#N/A,#N/A,FALSE,"P&amp;L_SPS"}</definedName>
    <definedName name="wrn_5" localSheetId="19" hidden="1">{#N/A,#N/A,FALSE,"Balance SPS";#N/A,#N/A,FALSE,"P&amp;L_SPS"}</definedName>
    <definedName name="wrn_5" hidden="1">{#N/A,#N/A,FALSE,"Balance SPS";#N/A,#N/A,FALSE,"P&amp;L_SPS"}</definedName>
    <definedName name="wrn1_1" localSheetId="19" hidden="1">{#N/A,#N/A,FALSE,"MBR PCS";#N/A,#N/A,FALSE,"MBR CIG";#N/A,#N/A,FALSE,"MBR iDEN";#N/A,#N/A,FALSE,"MBR_FWT";#N/A,#N/A,FALSE,"MBR TOTAL"}</definedName>
    <definedName name="wrn1_1" hidden="1">{#N/A,#N/A,FALSE,"MBR PCS";#N/A,#N/A,FALSE,"MBR CIG";#N/A,#N/A,FALSE,"MBR iDEN";#N/A,#N/A,FALSE,"MBR_FWT";#N/A,#N/A,FALSE,"MBR TOTAL"}</definedName>
    <definedName name="wrn1_2" localSheetId="19" hidden="1">{#N/A,#N/A,FALSE,"MBR PCS";#N/A,#N/A,FALSE,"MBR CIG";#N/A,#N/A,FALSE,"MBR iDEN";#N/A,#N/A,FALSE,"MBR_FWT";#N/A,#N/A,FALSE,"MBR TOTAL"}</definedName>
    <definedName name="wrn1_2" hidden="1">{#N/A,#N/A,FALSE,"MBR PCS";#N/A,#N/A,FALSE,"MBR CIG";#N/A,#N/A,FALSE,"MBR iDEN";#N/A,#N/A,FALSE,"MBR_FWT";#N/A,#N/A,FALSE,"MBR TOTAL"}</definedName>
    <definedName name="wrn1_3" localSheetId="19" hidden="1">{#N/A,#N/A,FALSE,"MBR PCS";#N/A,#N/A,FALSE,"MBR CIG";#N/A,#N/A,FALSE,"MBR iDEN";#N/A,#N/A,FALSE,"MBR_FWT";#N/A,#N/A,FALSE,"MBR TOTAL"}</definedName>
    <definedName name="wrn1_3" hidden="1">{#N/A,#N/A,FALSE,"MBR PCS";#N/A,#N/A,FALSE,"MBR CIG";#N/A,#N/A,FALSE,"MBR iDEN";#N/A,#N/A,FALSE,"MBR_FWT";#N/A,#N/A,FALSE,"MBR TOTAL"}</definedName>
    <definedName name="wrn1_4" localSheetId="19" hidden="1">{#N/A,#N/A,FALSE,"MBR PCS";#N/A,#N/A,FALSE,"MBR CIG";#N/A,#N/A,FALSE,"MBR iDEN";#N/A,#N/A,FALSE,"MBR_FWT";#N/A,#N/A,FALSE,"MBR TOTAL"}</definedName>
    <definedName name="wrn1_4" hidden="1">{#N/A,#N/A,FALSE,"MBR PCS";#N/A,#N/A,FALSE,"MBR CIG";#N/A,#N/A,FALSE,"MBR iDEN";#N/A,#N/A,FALSE,"MBR_FWT";#N/A,#N/A,FALSE,"MBR TOTAL"}</definedName>
    <definedName name="wrn1_5" localSheetId="19" hidden="1">{#N/A,#N/A,FALSE,"MBR PCS";#N/A,#N/A,FALSE,"MBR CIG";#N/A,#N/A,FALSE,"MBR iDEN";#N/A,#N/A,FALSE,"MBR_FWT";#N/A,#N/A,FALSE,"MBR TOTAL"}</definedName>
    <definedName name="wrn1_5" hidden="1">{#N/A,#N/A,FALSE,"MBR PCS";#N/A,#N/A,FALSE,"MBR CIG";#N/A,#N/A,FALSE,"MBR iDEN";#N/A,#N/A,FALSE,"MBR_FWT";#N/A,#N/A,FALSE,"MBR TOTAL"}</definedName>
    <definedName name="wrn2.report" localSheetId="19" hidden="1">{#N/A,#N/A,FALSE,"P&amp;L";#N/A,#N/A,FALSE,"DL Worksheet";#N/A,#N/A,FALSE,"Ind. Cell";#N/A,#N/A,FALSE,"Capital";#N/A,#N/A,FALSE,"Tooling";#N/A,#N/A,FALSE,"LRP"}</definedName>
    <definedName name="wrn2.report" hidden="1">{#N/A,#N/A,FALSE,"P&amp;L";#N/A,#N/A,FALSE,"DL Worksheet";#N/A,#N/A,FALSE,"Ind. Cell";#N/A,#N/A,FALSE,"Capital";#N/A,#N/A,FALSE,"Tooling";#N/A,#N/A,FALSE,"LRP"}</definedName>
    <definedName name="wrna"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c"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e" localSheetId="19" hidden="1">{#N/A,#N/A,FALSE,"Headcount_PCS ";#N/A,#N/A,FALSE,"Headcount CIG";#N/A,#N/A,FALSE,"Headcount iDEN";#N/A,#N/A,FALSE,"JAG PLANT TREND"}</definedName>
    <definedName name="wrne" hidden="1">{#N/A,#N/A,FALSE,"Headcount_PCS ";#N/A,#N/A,FALSE,"Headcount CIG";#N/A,#N/A,FALSE,"Headcount iDEN";#N/A,#N/A,FALSE,"JAG PLANT TREND"}</definedName>
    <definedName name="wrne_1" localSheetId="19" hidden="1">{#N/A,#N/A,FALSE,"Headcount_PCS ";#N/A,#N/A,FALSE,"Headcount CIG";#N/A,#N/A,FALSE,"Headcount iDEN";#N/A,#N/A,FALSE,"JAG PLANT TREND"}</definedName>
    <definedName name="wrne_1" hidden="1">{#N/A,#N/A,FALSE,"Headcount_PCS ";#N/A,#N/A,FALSE,"Headcount CIG";#N/A,#N/A,FALSE,"Headcount iDEN";#N/A,#N/A,FALSE,"JAG PLANT TREND"}</definedName>
    <definedName name="wrne_2" localSheetId="19" hidden="1">{#N/A,#N/A,FALSE,"Headcount_PCS ";#N/A,#N/A,FALSE,"Headcount CIG";#N/A,#N/A,FALSE,"Headcount iDEN";#N/A,#N/A,FALSE,"JAG PLANT TREND"}</definedName>
    <definedName name="wrne_2" hidden="1">{#N/A,#N/A,FALSE,"Headcount_PCS ";#N/A,#N/A,FALSE,"Headcount CIG";#N/A,#N/A,FALSE,"Headcount iDEN";#N/A,#N/A,FALSE,"JAG PLANT TREND"}</definedName>
    <definedName name="wrne_3" localSheetId="19" hidden="1">{#N/A,#N/A,FALSE,"Headcount_PCS ";#N/A,#N/A,FALSE,"Headcount CIG";#N/A,#N/A,FALSE,"Headcount iDEN";#N/A,#N/A,FALSE,"JAG PLANT TREND"}</definedName>
    <definedName name="wrne_3" hidden="1">{#N/A,#N/A,FALSE,"Headcount_PCS ";#N/A,#N/A,FALSE,"Headcount CIG";#N/A,#N/A,FALSE,"Headcount iDEN";#N/A,#N/A,FALSE,"JAG PLANT TREND"}</definedName>
    <definedName name="wrne_4" localSheetId="19" hidden="1">{#N/A,#N/A,FALSE,"Headcount_PCS ";#N/A,#N/A,FALSE,"Headcount CIG";#N/A,#N/A,FALSE,"Headcount iDEN";#N/A,#N/A,FALSE,"JAG PLANT TREND"}</definedName>
    <definedName name="wrne_4" hidden="1">{#N/A,#N/A,FALSE,"Headcount_PCS ";#N/A,#N/A,FALSE,"Headcount CIG";#N/A,#N/A,FALSE,"Headcount iDEN";#N/A,#N/A,FALSE,"JAG PLANT TREND"}</definedName>
    <definedName name="wrne_5" localSheetId="19" hidden="1">{#N/A,#N/A,FALSE,"Headcount_PCS ";#N/A,#N/A,FALSE,"Headcount CIG";#N/A,#N/A,FALSE,"Headcount iDEN";#N/A,#N/A,FALSE,"JAG PLANT TREND"}</definedName>
    <definedName name="wrne_5" hidden="1">{#N/A,#N/A,FALSE,"Headcount_PCS ";#N/A,#N/A,FALSE,"Headcount CIG";#N/A,#N/A,FALSE,"Headcount iDEN";#N/A,#N/A,FALSE,"JAG PLANT TREND"}</definedName>
    <definedName name="wsxxx" localSheetId="19" hidden="1">{#N/A,#N/A,FALSE,"Total";#N/A,#N/A,FALSE,"ASNS";#N/A,#N/A,FALSE,"PNCNS";#N/A,#N/A,FALSE,"DSNS";#N/A,#N/A,FALSE,"TNS"}</definedName>
    <definedName name="wsxxx" hidden="1">{#N/A,#N/A,FALSE,"Total";#N/A,#N/A,FALSE,"ASNS";#N/A,#N/A,FALSE,"PNCNS";#N/A,#N/A,FALSE,"DSNS";#N/A,#N/A,FALSE,"TNS"}</definedName>
    <definedName name="wsxxxx" localSheetId="19" hidden="1">{#N/A,#N/A,FALSE,"QTR Total";#N/A,#N/A,FALSE,"QTR ASNS";#N/A,#N/A,FALSE,"QTR PNCNS";#N/A,#N/A,FALSE,"QTR DSNS";#N/A,#N/A,FALSE,"QTR TNS"}</definedName>
    <definedName name="wsxxxx" hidden="1">{#N/A,#N/A,FALSE,"QTR Total";#N/A,#N/A,FALSE,"QTR ASNS";#N/A,#N/A,FALSE,"QTR PNCNS";#N/A,#N/A,FALSE,"QTR DSNS";#N/A,#N/A,FALSE,"QTR TNS"}</definedName>
    <definedName name="wvu.Assumptions." localSheetId="19" hidden="1">{TRUE,TRUE,-1.25,-15.5,484.5,253.5,FALSE,FALSE,TRUE,TRUE,0,1,#N/A,1,3,14.8947368421053,2,3,FALSE,TRUE,3,TRUE,1,TRUE,80,"Swvu.Assumptions.","ACwvu.Assumptions.",#N/A,FALSE,FALSE,0.65,0.5,1.25,1,1,"","",TRUE,FALSE,FALSE,FALSE,1,#N/A,1,1,"=R1C1:R64C13",FALSE,"Rwvu.Assumptions.",#N/A,FALSE,FALSE,FALSE,1,#N/A,#N/A,FALSE,FALSE,TRUE,TRUE,TRUE}</definedName>
    <definedName name="wvu.Assumptions." hidden="1">{TRUE,TRUE,-1.25,-15.5,484.5,253.5,FALSE,FALSE,TRUE,TRUE,0,1,#N/A,1,3,14.8947368421053,2,3,FALSE,TRUE,3,TRUE,1,TRUE,80,"Swvu.Assumptions.","ACwvu.Assumptions.",#N/A,FALSE,FALSE,0.65,0.5,1.25,1,1,"","",TRUE,FALSE,FALSE,FALSE,1,#N/A,1,1,"=R1C1:R64C13",FALSE,"Rwvu.Assumptions.",#N/A,FALSE,FALSE,FALSE,1,#N/A,#N/A,FALSE,FALSE,TRUE,TRUE,TRUE}</definedName>
    <definedName name="wvu.capexsum." localSheetId="19" hidden="1">{TRUE,TRUE,-1.25,-15.5,604.5,343.5,FALSE,FALSE,TRUE,TRUE,0,1,2,1,4,1,3,4,TRUE,TRUE,3,TRUE,1,TRUE,85,"Swvu.capexsum.","ACwvu.capexsum.",#N/A,FALSE,FALSE,0.75,0.75,1,1,2,"","",TRUE,FALSE,FALSE,FALSE,1,100,#N/A,#N/A,"=R1C1:R24C12",FALSE,#N/A,#N/A,FALSE,FALSE,FALSE,1,#N/A,#N/A,FALSE,FALSE,TRUE,TRUE,TRUE}</definedName>
    <definedName name="wvu.capexsum." hidden="1">{TRUE,TRUE,-1.25,-15.5,604.5,343.5,FALSE,FALSE,TRUE,TRUE,0,1,2,1,4,1,3,4,TRUE,TRUE,3,TRUE,1,TRUE,85,"Swvu.capexsum.","ACwvu.capexsum.",#N/A,FALSE,FALSE,0.75,0.75,1,1,2,"","",TRUE,FALSE,FALSE,FALSE,1,100,#N/A,#N/A,"=R1C1:R24C12",FALSE,#N/A,#N/A,FALSE,FALSE,FALSE,1,#N/A,#N/A,FALSE,FALSE,TRUE,TRUE,TRUE}</definedName>
    <definedName name="wvu.earnings." localSheetId="19" hidden="1">{TRUE,TRUE,-1.25,-15.5,604.5,343.5,FALSE,FALSE,TRUE,TRUE,0,1,2,1,5,1,4,4,TRUE,TRUE,3,TRUE,1,TRUE,85,"Swvu.earnings.","ACwvu.earnings.",#N/A,FALSE,FALSE,0.75,0.75,1,1,2,"","",TRUE,FALSE,FALSE,FALSE,1,#N/A,1,1,"=R1C1:R39C12",FALSE,#N/A,#N/A,FALSE,FALSE,FALSE,1,#N/A,#N/A,FALSE,FALSE,TRUE,TRUE,TRUE}</definedName>
    <definedName name="wvu.earnings." hidden="1">{TRUE,TRUE,-1.25,-15.5,604.5,343.5,FALSE,FALSE,TRUE,TRUE,0,1,2,1,5,1,4,4,TRUE,TRUE,3,TRUE,1,TRUE,85,"Swvu.earnings.","ACwvu.earnings.",#N/A,FALSE,FALSE,0.75,0.75,1,1,2,"","",TRUE,FALSE,FALSE,FALSE,1,#N/A,1,1,"=R1C1:R39C12",FALSE,#N/A,#N/A,FALSE,FALSE,FALSE,1,#N/A,#N/A,FALSE,FALSE,TRUE,TRUE,TRUE}</definedName>
    <definedName name="wvu.foreign._.oil._.and._.gas._.results." localSheetId="19"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foreign._.oil._.and._.gas._.results."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normal._.growth." localSheetId="19"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normal._.growth."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oil._.and._.gas._.details."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wvu.oil._.and._.gas._.details." hidden="1">{TRUE,TRUE,-1.25,-15.5,604.5,343.5,FALSE,FALSE,TRUE,TRUE,0,1,#N/A,1,35,14.1666666666667,3,3,FALSE,TRUE,3,TRUE,1,TRUE,85,"Swvu.oil._.and._.gas._.details.","ACwvu.oil._.and._.gas._.details.",#N/A,FALSE,FALSE,0.75,0.75,1,1,1,"","",TRUE,FALSE,FALSE,FALSE,1,#N/A,1,1,"=R1C1:R59C11","=R1:R3",#N/A,#N/A,FALSE,FALSE,FALSE,1,#N/A,#N/A,FALSE,FALSE,TRUE,TRUE,TRUE}</definedName>
    <definedName name="wvu.qtr._.earnings._.model." localSheetId="19" hidden="1">{TRUE,TRUE,-1.25,-15.5,604.5,343.5,FALSE,FALSE,TRUE,TRUE,0,1,5,1,5,1,4,4,TRUE,TRUE,3,TRUE,1,TRUE,80,"Swvu.qtr._.earnings._.model.","ACwvu.qtr._.earnings._.model.",#N/A,FALSE,FALSE,0.65,0.5,1.25,1,2,"","",TRUE,FALSE,FALSE,FALSE,1,#N/A,1,1,"=R1C1:R36C16",FALSE,#N/A,#N/A,FALSE,FALSE,FALSE,1,#N/A,#N/A,FALSE,FALSE,TRUE,TRUE,TRUE}</definedName>
    <definedName name="wvu.qtr._.earnings._.model." hidden="1">{TRUE,TRUE,-1.25,-15.5,604.5,343.5,FALSE,FALSE,TRUE,TRUE,0,1,5,1,5,1,4,4,TRUE,TRUE,3,TRUE,1,TRUE,80,"Swvu.qtr._.earnings._.model.","ACwvu.qtr._.earnings._.model.",#N/A,FALSE,FALSE,0.65,0.5,1.25,1,2,"","",TRUE,FALSE,FALSE,FALSE,1,#N/A,1,1,"=R1C1:R36C16",FALSE,#N/A,#N/A,FALSE,FALSE,FALSE,1,#N/A,#N/A,FALSE,FALSE,TRUE,TRUE,TRUE}</definedName>
    <definedName name="wvu.qtr._.for._.IR." localSheetId="19" hidden="1">{TRUE,TRUE,-1.25,-15.5,604.5,343.5,FALSE,FALSE,TRUE,TRUE,0,1,2,1,13,1,4,4,TRUE,TRUE,3,TRUE,1,TRUE,80,"Swvu.qtr._.for._.IR.","ACwvu.qtr._.for._.IR.",#N/A,FALSE,FALSE,0.65,0.5,1.25,1,2,"","",TRUE,FALSE,FALSE,FALSE,1,#N/A,1,1,"=R1C1:R33C11",FALSE,#N/A,#N/A,FALSE,FALSE,FALSE,1,#N/A,#N/A,FALSE,FALSE,TRUE,TRUE,TRUE}</definedName>
    <definedName name="wvu.qtr._.for._.IR." hidden="1">{TRUE,TRUE,-1.25,-15.5,604.5,343.5,FALSE,FALSE,TRUE,TRUE,0,1,2,1,13,1,4,4,TRUE,TRUE,3,TRUE,1,TRUE,80,"Swvu.qtr._.for._.IR.","ACwvu.qtr._.for._.IR.",#N/A,FALSE,FALSE,0.65,0.5,1.25,1,2,"","",TRUE,FALSE,FALSE,FALSE,1,#N/A,1,1,"=R1C1:R33C11",FALSE,#N/A,#N/A,FALSE,FALSE,FALSE,1,#N/A,#N/A,FALSE,FALSE,TRUE,TRUE,TRUE}</definedName>
    <definedName name="wvu.Table."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vu.Table."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Xcel">#REF!</definedName>
    <definedName name="Xcel_COS" localSheetId="19">#REF!</definedName>
    <definedName name="Xcel_COS">#REF!</definedName>
    <definedName name="XREF_COLUMN_1" hidden="1">#REF!</definedName>
    <definedName name="XREF_COLUMN_2" hidden="1">#REF!</definedName>
    <definedName name="XREF_COLUMN_3" hidden="1">#REF!</definedName>
    <definedName name="XREF_COLUMN_4" hidden="1">#REF!</definedName>
    <definedName name="XREF_COLUMN_5" hidden="1">#REF!</definedName>
    <definedName name="XRefActiveRow" hidden="1">#REF!</definedName>
    <definedName name="XRefColumnsCount" hidden="1">5</definedName>
    <definedName name="XRefCopy1" hidden="1">#REF!</definedName>
    <definedName name="XRefCopy1Row" hidden="1">#REF!</definedName>
    <definedName name="XRefCopy2"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RangeCount" hidden="1">6</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Row" hidden="1">#REF!</definedName>
    <definedName name="XRefPaste2" hidden="1">#REF!</definedName>
    <definedName name="XRefPaste2Row" hidden="1">#REF!</definedName>
    <definedName name="XRefPaste3Row" hidden="1">#REF!</definedName>
    <definedName name="XRefPaste4" hidden="1">#REF!</definedName>
    <definedName name="XRefPaste4Row"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15</definedName>
    <definedName name="xxx" localSheetId="19" hidden="1">{#N/A,#N/A,FALSE,"O&amp;M by processes";#N/A,#N/A,FALSE,"Elec Act vs Bud";#N/A,#N/A,FALSE,"G&amp;A";#N/A,#N/A,FALSE,"BGS";#N/A,#N/A,FALSE,"Res Cost"}</definedName>
    <definedName name="xxx" localSheetId="13"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9" hidden="1">{#N/A,#N/A,FALSE,"O&amp;M by processes";#N/A,#N/A,FALSE,"Elec Act vs Bud";#N/A,#N/A,FALSE,"G&amp;A";#N/A,#N/A,FALSE,"BGS";#N/A,#N/A,FALSE,"Res Cost"}</definedName>
    <definedName name="xxxx" localSheetId="13" hidden="1">{#N/A,#N/A,FALSE,"O&amp;M by processes";#N/A,#N/A,FALSE,"Elec Act vs Bud";#N/A,#N/A,FALSE,"G&amp;A";#N/A,#N/A,FALSE,"BGS";#N/A,#N/A,FALSE,"Res Cost"}</definedName>
    <definedName name="xxxx" hidden="1">{#N/A,#N/A,FALSE,"O&amp;M by processes";#N/A,#N/A,FALSE,"Elec Act vs Bud";#N/A,#N/A,FALSE,"G&amp;A";#N/A,#N/A,FALSE,"BGS";#N/A,#N/A,FALSE,"Res Cost"}</definedName>
    <definedName name="xxxxxx"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y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rtyretyreyt" localSheetId="19" hidden="1">{TRUE,TRUE,-1.25,-15.5,604.5,343.5,FALSE,FALSE,TRUE,TRUE,0,1,2,1,4,1,3,4,TRUE,TRUE,3,TRUE,1,TRUE,85,"Swvu.capexsum.","ACwvu.capexsum.",#N/A,FALSE,FALSE,0.75,0.75,1,1,2,"","",TRUE,FALSE,FALSE,FALSE,1,100,#N/A,#N/A,"=R1C1:R24C12",FALSE,#N/A,#N/A,FALSE,FALSE,FALSE,1,#N/A,#N/A,FALSE,FALSE,TRUE,TRUE,TRUE}</definedName>
    <definedName name="yrtyretyreyt" hidden="1">{TRUE,TRUE,-1.25,-15.5,604.5,343.5,FALSE,FALSE,TRUE,TRUE,0,1,2,1,4,1,3,4,TRUE,TRUE,3,TRUE,1,TRUE,85,"Swvu.capexsum.","ACwvu.capexsum.",#N/A,FALSE,FALSE,0.75,0.75,1,1,2,"","",TRUE,FALSE,FALSE,FALSE,1,100,#N/A,#N/A,"=R1C1:R24C12",FALSE,#N/A,#N/A,FALSE,FALSE,FALSE,1,#N/A,#N/A,FALSE,FALSE,TRUE,TRUE,TRUE}</definedName>
    <definedName name="yuiuyi" localSheetId="19" hidden="1">{#N/A,#N/A,FALSE,"P&amp;L";#N/A,#N/A,FALSE,"DL Worksheet";#N/A,#N/A,FALSE,"Ind. Cell";#N/A,#N/A,FALSE,"Capital";#N/A,#N/A,FALSE,"Tooling";#N/A,#N/A,FALSE,"LRP"}</definedName>
    <definedName name="yuiuyi" hidden="1">{#N/A,#N/A,FALSE,"P&amp;L";#N/A,#N/A,FALSE,"DL Worksheet";#N/A,#N/A,FALSE,"Ind. Cell";#N/A,#N/A,FALSE,"Capital";#N/A,#N/A,FALSE,"Tooling";#N/A,#N/A,FALSE,"LRP"}</definedName>
    <definedName name="yyy" localSheetId="19" hidden="1">{#N/A,#N/A,FALSE,"QTR Total";#N/A,#N/A,FALSE,"QTR ASNS";#N/A,#N/A,FALSE,"QTR PNCNS";#N/A,#N/A,FALSE,"QTR DSNS";#N/A,#N/A,FALSE,"QTR TNS"}</definedName>
    <definedName name="yyy" hidden="1">{#N/A,#N/A,FALSE,"QTR Total";#N/A,#N/A,FALSE,"QTR ASNS";#N/A,#N/A,FALSE,"QTR PNCNS";#N/A,#N/A,FALSE,"QTR DSNS";#N/A,#N/A,FALSE,"QTR TNS"}</definedName>
    <definedName name="Z_28948E05_8F34_4F1E_96FB_A80A6A844600_.wvu.Cols" localSheetId="6" hidden="1">'4 - Cap Adds'!$L:$AB</definedName>
    <definedName name="Z_28948E05_8F34_4F1E_96FB_A80A6A844600_.wvu.Cols" localSheetId="8" hidden="1">'6a-ADIT Projection'!#REF!</definedName>
    <definedName name="Z_28948E05_8F34_4F1E_96FB_A80A6A844600_.wvu.Cols" localSheetId="9" hidden="1">'6b-ADIT Projection Proration'!#REF!</definedName>
    <definedName name="Z_28948E05_8F34_4F1E_96FB_A80A6A844600_.wvu.Cols" localSheetId="10" hidden="1">'6c- ADIT BOY'!#REF!</definedName>
    <definedName name="Z_28948E05_8F34_4F1E_96FB_A80A6A844600_.wvu.Cols" localSheetId="11" hidden="1">'6d- ADIT EOY'!#REF!</definedName>
    <definedName name="Z_28948E05_8F34_4F1E_96FB_A80A6A844600_.wvu.Cols" localSheetId="12" hidden="1">'6e-ADIT True-up'!#REF!</definedName>
    <definedName name="Z_28948E05_8F34_4F1E_96FB_A80A6A844600_.wvu.Cols" localSheetId="13" hidden="1">'6f-ADIT True-up Proration'!#REF!</definedName>
    <definedName name="Z_28948E05_8F34_4F1E_96FB_A80A6A844600_.wvu.PrintArea" localSheetId="8" hidden="1">'6a-ADIT Projection'!$B$1:$G$52</definedName>
    <definedName name="Z_28948E05_8F34_4F1E_96FB_A80A6A844600_.wvu.PrintArea" localSheetId="9" hidden="1">'6b-ADIT Projection Proration'!$B$1:$H$74</definedName>
    <definedName name="Z_28948E05_8F34_4F1E_96FB_A80A6A844600_.wvu.PrintArea" localSheetId="10" hidden="1">'6c- ADIT BOY'!$B$1:$H$106</definedName>
    <definedName name="Z_28948E05_8F34_4F1E_96FB_A80A6A844600_.wvu.PrintArea" localSheetId="11" hidden="1">'6d- ADIT EOY'!$B$1:$H$106</definedName>
    <definedName name="Z_28948E05_8F34_4F1E_96FB_A80A6A844600_.wvu.PrintArea" localSheetId="12" hidden="1">'6e-ADIT True-up'!$B$1:$G$48</definedName>
    <definedName name="Z_28948E05_8F34_4F1E_96FB_A80A6A844600_.wvu.PrintArea" localSheetId="13" hidden="1">'6f-ADIT True-up Proration'!$B$1:$F$74</definedName>
    <definedName name="Z_28948E05_8F34_4F1E_96FB_A80A6A844600_.wvu.PrintTitles" localSheetId="6" hidden="1">'4 - Cap Adds'!$C:$D</definedName>
    <definedName name="Z_3768C7C8_9953_11DA_B318_000FB55D51DC_.wvu.PrintArea" localSheetId="1" hidden="1">'1 - Revenue Credits'!$A$5:$D$20</definedName>
    <definedName name="Z_3768C7C8_9953_11DA_B318_000FB55D51DC_.wvu.PrintArea" localSheetId="2" hidden="1">'2 - Cost Support '!#REF!</definedName>
    <definedName name="Z_3768C7C8_9953_11DA_B318_000FB55D51DC_.wvu.PrintArea" localSheetId="3" hidden="1">'2a - Cost Support'!$A$49:$M$151</definedName>
    <definedName name="Z_3768C7C8_9953_11DA_B318_000FB55D51DC_.wvu.PrintTitles" localSheetId="2" hidden="1">'2 - Cost Support '!#REF!</definedName>
    <definedName name="Z_3768C7C8_9953_11DA_B318_000FB55D51DC_.wvu.PrintTitles" localSheetId="3" hidden="1">'2a - Cost Support'!#REF!</definedName>
    <definedName name="Z_3768C7C8_9953_11DA_B318_000FB55D51DC_.wvu.Rows" localSheetId="2" hidden="1">'2 - Cost Support '!#REF!</definedName>
    <definedName name="Z_3768C7C8_9953_11DA_B318_000FB55D51DC_.wvu.Rows" localSheetId="3" hidden="1">'2a - Cost Support'!#REF!</definedName>
    <definedName name="Z_3A38DF7A_C35E_4DD3_9893_26310A3EF836_.wvu.Cols" localSheetId="6" hidden="1">'4 - Cap Adds'!$L:$AB</definedName>
    <definedName name="Z_3A38DF7A_C35E_4DD3_9893_26310A3EF836_.wvu.PrintTitles" localSheetId="6" hidden="1">'4 - Cap Adds'!$C:$D</definedName>
    <definedName name="Z_3BDD6235_B127_4929_8311_BDAF7BB89818_.wvu.PrintArea" localSheetId="1" hidden="1">'1 - Revenue Credits'!$A$5:$D$20</definedName>
    <definedName name="Z_3BDD6235_B127_4929_8311_BDAF7BB89818_.wvu.PrintArea" localSheetId="2" hidden="1">'2 - Cost Support '!#REF!</definedName>
    <definedName name="Z_3BDD6235_B127_4929_8311_BDAF7BB89818_.wvu.PrintArea" localSheetId="3" hidden="1">'2a - Cost Support'!$A$49:$M$151</definedName>
    <definedName name="Z_3BDD6235_B127_4929_8311_BDAF7BB89818_.wvu.PrintTitles" localSheetId="2" hidden="1">'2 - Cost Support '!#REF!</definedName>
    <definedName name="Z_3BDD6235_B127_4929_8311_BDAF7BB89818_.wvu.PrintTitles" localSheetId="3" hidden="1">'2a - Cost Support'!#REF!</definedName>
    <definedName name="Z_3BDD6235_B127_4929_8311_BDAF7BB89818_.wvu.Rows" localSheetId="2" hidden="1">'2 - Cost Support '!#REF!</definedName>
    <definedName name="Z_3BDD6235_B127_4929_8311_BDAF7BB89818_.wvu.Rows" localSheetId="3" hidden="1">'2a - Cost Support'!#REF!</definedName>
    <definedName name="Z_4C7C2344_134C_465A_ADEB_A5E96AAE2308_.wvu.Cols" localSheetId="6" hidden="1">'4 - Cap Adds'!$L:$AB</definedName>
    <definedName name="Z_4C7C2344_134C_465A_ADEB_A5E96AAE2308_.wvu.PrintTitles" localSheetId="6" hidden="1">'4 - Cap Adds'!$C:$D</definedName>
    <definedName name="Z_63011E91_4609_4523_98FE_FD252E915668_.wvu.Cols" localSheetId="8" hidden="1">'6a-ADIT Projection'!#REF!</definedName>
    <definedName name="Z_63011E91_4609_4523_98FE_FD252E915668_.wvu.Cols" localSheetId="9" hidden="1">'6b-ADIT Projection Proration'!#REF!</definedName>
    <definedName name="Z_63011E91_4609_4523_98FE_FD252E915668_.wvu.Cols" localSheetId="10" hidden="1">'6c- ADIT BOY'!#REF!</definedName>
    <definedName name="Z_63011E91_4609_4523_98FE_FD252E915668_.wvu.Cols" localSheetId="11" hidden="1">'6d- ADIT EOY'!#REF!</definedName>
    <definedName name="Z_63011E91_4609_4523_98FE_FD252E915668_.wvu.Cols" localSheetId="12" hidden="1">'6e-ADIT True-up'!#REF!</definedName>
    <definedName name="Z_63011E91_4609_4523_98FE_FD252E915668_.wvu.Cols" localSheetId="13" hidden="1">'6f-ADIT True-up Proration'!#REF!</definedName>
    <definedName name="Z_63011E91_4609_4523_98FE_FD252E915668_.wvu.PrintArea" localSheetId="8" hidden="1">'6a-ADIT Projection'!$B$1:$G$52</definedName>
    <definedName name="Z_63011E91_4609_4523_98FE_FD252E915668_.wvu.PrintArea" localSheetId="9" hidden="1">'6b-ADIT Projection Proration'!$B$1:$H$74</definedName>
    <definedName name="Z_63011E91_4609_4523_98FE_FD252E915668_.wvu.PrintArea" localSheetId="10" hidden="1">'6c- ADIT BOY'!$B$1:$H$106</definedName>
    <definedName name="Z_63011E91_4609_4523_98FE_FD252E915668_.wvu.PrintArea" localSheetId="11" hidden="1">'6d- ADIT EOY'!$B$1:$H$106</definedName>
    <definedName name="Z_63011E91_4609_4523_98FE_FD252E915668_.wvu.PrintArea" localSheetId="12" hidden="1">'6e-ADIT True-up'!$B$1:$G$48</definedName>
    <definedName name="Z_63011E91_4609_4523_98FE_FD252E915668_.wvu.PrintArea" localSheetId="13" hidden="1">'6f-ADIT True-up Proration'!$B$1:$F$74</definedName>
    <definedName name="Z_6928E596_79BD_4CEC_9F0D_07E62D69B2A5_.wvu.Cols" localSheetId="8" hidden="1">'6a-ADIT Projection'!#REF!</definedName>
    <definedName name="Z_6928E596_79BD_4CEC_9F0D_07E62D69B2A5_.wvu.Cols" localSheetId="9" hidden="1">'6b-ADIT Projection Proration'!#REF!</definedName>
    <definedName name="Z_6928E596_79BD_4CEC_9F0D_07E62D69B2A5_.wvu.Cols" localSheetId="10" hidden="1">'6c- ADIT BOY'!#REF!</definedName>
    <definedName name="Z_6928E596_79BD_4CEC_9F0D_07E62D69B2A5_.wvu.Cols" localSheetId="11" hidden="1">'6d- ADIT EOY'!#REF!</definedName>
    <definedName name="Z_6928E596_79BD_4CEC_9F0D_07E62D69B2A5_.wvu.Cols" localSheetId="12" hidden="1">'6e-ADIT True-up'!#REF!</definedName>
    <definedName name="Z_6928E596_79BD_4CEC_9F0D_07E62D69B2A5_.wvu.Cols" localSheetId="13" hidden="1">'6f-ADIT True-up Proration'!#REF!</definedName>
    <definedName name="Z_6928E596_79BD_4CEC_9F0D_07E62D69B2A5_.wvu.PrintArea" localSheetId="8" hidden="1">'6a-ADIT Projection'!$B$1:$G$52</definedName>
    <definedName name="Z_6928E596_79BD_4CEC_9F0D_07E62D69B2A5_.wvu.PrintArea" localSheetId="9" hidden="1">'6b-ADIT Projection Proration'!$B$1:$H$74</definedName>
    <definedName name="Z_6928E596_79BD_4CEC_9F0D_07E62D69B2A5_.wvu.PrintArea" localSheetId="10" hidden="1">'6c- ADIT BOY'!$B$1:$H$106</definedName>
    <definedName name="Z_6928E596_79BD_4CEC_9F0D_07E62D69B2A5_.wvu.PrintArea" localSheetId="11" hidden="1">'6d- ADIT EOY'!$B$1:$H$106</definedName>
    <definedName name="Z_6928E596_79BD_4CEC_9F0D_07E62D69B2A5_.wvu.PrintArea" localSheetId="12" hidden="1">'6e-ADIT True-up'!$B$1:$G$48</definedName>
    <definedName name="Z_6928E596_79BD_4CEC_9F0D_07E62D69B2A5_.wvu.PrintArea" localSheetId="13" hidden="1">'6f-ADIT True-up Proration'!$B$1:$F$74</definedName>
    <definedName name="Z_71B42B22_A376_44B5_B0C1_23FC1AA3DBA2_.wvu.Cols" localSheetId="6" hidden="1">'4 - Cap Adds'!$L:$AB</definedName>
    <definedName name="Z_71B42B22_A376_44B5_B0C1_23FC1AA3DBA2_.wvu.Cols" localSheetId="8" hidden="1">'6a-ADIT Projection'!#REF!</definedName>
    <definedName name="Z_71B42B22_A376_44B5_B0C1_23FC1AA3DBA2_.wvu.Cols" localSheetId="9" hidden="1">'6b-ADIT Projection Proration'!#REF!</definedName>
    <definedName name="Z_71B42B22_A376_44B5_B0C1_23FC1AA3DBA2_.wvu.Cols" localSheetId="10" hidden="1">'6c- ADIT BOY'!#REF!</definedName>
    <definedName name="Z_71B42B22_A376_44B5_B0C1_23FC1AA3DBA2_.wvu.Cols" localSheetId="11" hidden="1">'6d- ADIT EOY'!#REF!</definedName>
    <definedName name="Z_71B42B22_A376_44B5_B0C1_23FC1AA3DBA2_.wvu.Cols" localSheetId="12" hidden="1">'6e-ADIT True-up'!#REF!</definedName>
    <definedName name="Z_71B42B22_A376_44B5_B0C1_23FC1AA3DBA2_.wvu.Cols" localSheetId="13" hidden="1">'6f-ADIT True-up Proration'!#REF!</definedName>
    <definedName name="Z_71B42B22_A376_44B5_B0C1_23FC1AA3DBA2_.wvu.PrintArea" localSheetId="8" hidden="1">'6a-ADIT Projection'!$B$1:$G$52</definedName>
    <definedName name="Z_71B42B22_A376_44B5_B0C1_23FC1AA3DBA2_.wvu.PrintArea" localSheetId="9" hidden="1">'6b-ADIT Projection Proration'!$B$1:$H$74</definedName>
    <definedName name="Z_71B42B22_A376_44B5_B0C1_23FC1AA3DBA2_.wvu.PrintArea" localSheetId="10" hidden="1">'6c- ADIT BOY'!$B$1:$H$106</definedName>
    <definedName name="Z_71B42B22_A376_44B5_B0C1_23FC1AA3DBA2_.wvu.PrintArea" localSheetId="11" hidden="1">'6d- ADIT EOY'!$B$1:$H$106</definedName>
    <definedName name="Z_71B42B22_A376_44B5_B0C1_23FC1AA3DBA2_.wvu.PrintArea" localSheetId="12" hidden="1">'6e-ADIT True-up'!$B$1:$G$48</definedName>
    <definedName name="Z_71B42B22_A376_44B5_B0C1_23FC1AA3DBA2_.wvu.PrintArea" localSheetId="13" hidden="1">'6f-ADIT True-up Proration'!$B$1:$F$74</definedName>
    <definedName name="Z_71B42B22_A376_44B5_B0C1_23FC1AA3DBA2_.wvu.PrintTitles" localSheetId="6" hidden="1">'4 - Cap Adds'!$C:$D</definedName>
    <definedName name="Z_8FBB4DC9_2D51_4AB9_80D8_F8474B404C29_.wvu.Cols" localSheetId="8" hidden="1">'6a-ADIT Projection'!#REF!</definedName>
    <definedName name="Z_8FBB4DC9_2D51_4AB9_80D8_F8474B404C29_.wvu.Cols" localSheetId="9" hidden="1">'6b-ADIT Projection Proration'!#REF!</definedName>
    <definedName name="Z_8FBB4DC9_2D51_4AB9_80D8_F8474B404C29_.wvu.Cols" localSheetId="10" hidden="1">'6c- ADIT BOY'!#REF!</definedName>
    <definedName name="Z_8FBB4DC9_2D51_4AB9_80D8_F8474B404C29_.wvu.Cols" localSheetId="11" hidden="1">'6d- ADIT EOY'!#REF!</definedName>
    <definedName name="Z_8FBB4DC9_2D51_4AB9_80D8_F8474B404C29_.wvu.Cols" localSheetId="12" hidden="1">'6e-ADIT True-up'!#REF!</definedName>
    <definedName name="Z_8FBB4DC9_2D51_4AB9_80D8_F8474B404C29_.wvu.Cols" localSheetId="13" hidden="1">'6f-ADIT True-up Proration'!#REF!</definedName>
    <definedName name="Z_8FBB4DC9_2D51_4AB9_80D8_F8474B404C29_.wvu.PrintArea" localSheetId="8" hidden="1">'6a-ADIT Projection'!$B$1:$G$52</definedName>
    <definedName name="Z_8FBB4DC9_2D51_4AB9_80D8_F8474B404C29_.wvu.PrintArea" localSheetId="9" hidden="1">'6b-ADIT Projection Proration'!$B$1:$H$74</definedName>
    <definedName name="Z_8FBB4DC9_2D51_4AB9_80D8_F8474B404C29_.wvu.PrintArea" localSheetId="10" hidden="1">'6c- ADIT BOY'!$B$1:$H$106</definedName>
    <definedName name="Z_8FBB4DC9_2D51_4AB9_80D8_F8474B404C29_.wvu.PrintArea" localSheetId="11" hidden="1">'6d- ADIT EOY'!$B$1:$H$106</definedName>
    <definedName name="Z_8FBB4DC9_2D51_4AB9_80D8_F8474B404C29_.wvu.PrintArea" localSheetId="12" hidden="1">'6e-ADIT True-up'!$B$1:$G$48</definedName>
    <definedName name="Z_8FBB4DC9_2D51_4AB9_80D8_F8474B404C29_.wvu.PrintArea" localSheetId="13" hidden="1">'6f-ADIT True-up Proration'!$B$1:$F$74</definedName>
    <definedName name="Z_B0241363_5C8A_48FC_89A6_56D55586BABE_.wvu.PrintArea" localSheetId="1" hidden="1">'1 - Revenue Credits'!$A$5:$D$20</definedName>
    <definedName name="Z_B0241363_5C8A_48FC_89A6_56D55586BABE_.wvu.PrintArea" localSheetId="2" hidden="1">'2 - Cost Support '!#REF!</definedName>
    <definedName name="Z_B0241363_5C8A_48FC_89A6_56D55586BABE_.wvu.PrintArea" localSheetId="3" hidden="1">'2a - Cost Support'!$A$49:$M$151</definedName>
    <definedName name="Z_B0241363_5C8A_48FC_89A6_56D55586BABE_.wvu.PrintTitles" localSheetId="2" hidden="1">'2 - Cost Support '!#REF!</definedName>
    <definedName name="Z_B0241363_5C8A_48FC_89A6_56D55586BABE_.wvu.PrintTitles" localSheetId="3" hidden="1">'2a - Cost Support'!#REF!</definedName>
    <definedName name="Z_B0241363_5C8A_48FC_89A6_56D55586BABE_.wvu.Rows" localSheetId="2" hidden="1">'2 - Cost Support '!#REF!</definedName>
    <definedName name="Z_B0241363_5C8A_48FC_89A6_56D55586BABE_.wvu.Rows" localSheetId="3" hidden="1">'2a - Cost Support'!#REF!</definedName>
    <definedName name="Z_B647CB7F_C846_4278_B6B1_1EF7F3C004F5_.wvu.Cols" localSheetId="8" hidden="1">'6a-ADIT Projection'!#REF!</definedName>
    <definedName name="Z_B647CB7F_C846_4278_B6B1_1EF7F3C004F5_.wvu.Cols" localSheetId="9" hidden="1">'6b-ADIT Projection Proration'!#REF!</definedName>
    <definedName name="Z_B647CB7F_C846_4278_B6B1_1EF7F3C004F5_.wvu.Cols" localSheetId="10" hidden="1">'6c- ADIT BOY'!#REF!</definedName>
    <definedName name="Z_B647CB7F_C846_4278_B6B1_1EF7F3C004F5_.wvu.Cols" localSheetId="11" hidden="1">'6d- ADIT EOY'!#REF!</definedName>
    <definedName name="Z_B647CB7F_C846_4278_B6B1_1EF7F3C004F5_.wvu.Cols" localSheetId="12" hidden="1">'6e-ADIT True-up'!#REF!</definedName>
    <definedName name="Z_B647CB7F_C846_4278_B6B1_1EF7F3C004F5_.wvu.Cols" localSheetId="13" hidden="1">'6f-ADIT True-up Proration'!#REF!</definedName>
    <definedName name="Z_B647CB7F_C846_4278_B6B1_1EF7F3C004F5_.wvu.PrintArea" localSheetId="8" hidden="1">'6a-ADIT Projection'!$B$1:$G$52</definedName>
    <definedName name="Z_B647CB7F_C846_4278_B6B1_1EF7F3C004F5_.wvu.PrintArea" localSheetId="9" hidden="1">'6b-ADIT Projection Proration'!$B$1:$H$74</definedName>
    <definedName name="Z_B647CB7F_C846_4278_B6B1_1EF7F3C004F5_.wvu.PrintArea" localSheetId="10" hidden="1">'6c- ADIT BOY'!$B$1:$H$106</definedName>
    <definedName name="Z_B647CB7F_C846_4278_B6B1_1EF7F3C004F5_.wvu.PrintArea" localSheetId="11" hidden="1">'6d- ADIT EOY'!$B$1:$H$106</definedName>
    <definedName name="Z_B647CB7F_C846_4278_B6B1_1EF7F3C004F5_.wvu.PrintArea" localSheetId="12" hidden="1">'6e-ADIT True-up'!$B$1:$G$48</definedName>
    <definedName name="Z_B647CB7F_C846_4278_B6B1_1EF7F3C004F5_.wvu.PrintArea" localSheetId="13" hidden="1">'6f-ADIT True-up Proration'!$B$1:$F$74</definedName>
    <definedName name="Z_C0EA0F9F_7310_4201_82C9_7B8FC8DB9137_.wvu.PrintArea" localSheetId="1" hidden="1">'1 - Revenue Credits'!$A$5:$D$20</definedName>
    <definedName name="Z_C0EA0F9F_7310_4201_82C9_7B8FC8DB9137_.wvu.PrintArea" localSheetId="2" hidden="1">'2 - Cost Support '!#REF!</definedName>
    <definedName name="Z_C0EA0F9F_7310_4201_82C9_7B8FC8DB9137_.wvu.PrintArea" localSheetId="3" hidden="1">'2a - Cost Support'!$A$49:$M$151</definedName>
    <definedName name="Z_C0EA0F9F_7310_4201_82C9_7B8FC8DB9137_.wvu.PrintTitles" localSheetId="2" hidden="1">'2 - Cost Support '!#REF!</definedName>
    <definedName name="Z_C0EA0F9F_7310_4201_82C9_7B8FC8DB9137_.wvu.PrintTitles" localSheetId="3" hidden="1">'2a - Cost Support'!#REF!</definedName>
    <definedName name="Z_C0EA0F9F_7310_4201_82C9_7B8FC8DB9137_.wvu.Rows" localSheetId="2" hidden="1">'2 - Cost Support '!#REF!</definedName>
    <definedName name="Z_C0EA0F9F_7310_4201_82C9_7B8FC8DB9137_.wvu.Rows" localSheetId="3" hidden="1">'2a - Cost Support'!#REF!</definedName>
    <definedName name="Z_DA967730_B71F_4038_B1B7_9D4790729C5D_.wvu.Cols" localSheetId="6" hidden="1">'4 - Cap Adds'!$L:$AB</definedName>
    <definedName name="Z_DA967730_B71F_4038_B1B7_9D4790729C5D_.wvu.PrintTitles" localSheetId="6" hidden="1">'4 - Cap Adds'!$C:$D</definedName>
    <definedName name="Z_DC91DEF3_837B_4BB9_A81E_3B78C5914E6C_.wvu.Cols" localSheetId="6" hidden="1">'4 - Cap Adds'!$L:$AB</definedName>
    <definedName name="Z_DC91DEF3_837B_4BB9_A81E_3B78C5914E6C_.wvu.Cols" localSheetId="8" hidden="1">'6a-ADIT Projection'!#REF!</definedName>
    <definedName name="Z_DC91DEF3_837B_4BB9_A81E_3B78C5914E6C_.wvu.Cols" localSheetId="9" hidden="1">'6b-ADIT Projection Proration'!#REF!</definedName>
    <definedName name="Z_DC91DEF3_837B_4BB9_A81E_3B78C5914E6C_.wvu.Cols" localSheetId="10" hidden="1">'6c- ADIT BOY'!#REF!</definedName>
    <definedName name="Z_DC91DEF3_837B_4BB9_A81E_3B78C5914E6C_.wvu.Cols" localSheetId="11" hidden="1">'6d- ADIT EOY'!#REF!</definedName>
    <definedName name="Z_DC91DEF3_837B_4BB9_A81E_3B78C5914E6C_.wvu.Cols" localSheetId="12" hidden="1">'6e-ADIT True-up'!#REF!</definedName>
    <definedName name="Z_DC91DEF3_837B_4BB9_A81E_3B78C5914E6C_.wvu.Cols" localSheetId="13" hidden="1">'6f-ADIT True-up Proration'!#REF!</definedName>
    <definedName name="Z_DC91DEF3_837B_4BB9_A81E_3B78C5914E6C_.wvu.PrintArea" localSheetId="8" hidden="1">'6a-ADIT Projection'!$B$1:$G$52</definedName>
    <definedName name="Z_DC91DEF3_837B_4BB9_A81E_3B78C5914E6C_.wvu.PrintArea" localSheetId="9" hidden="1">'6b-ADIT Projection Proration'!$B$1:$H$74</definedName>
    <definedName name="Z_DC91DEF3_837B_4BB9_A81E_3B78C5914E6C_.wvu.PrintArea" localSheetId="10" hidden="1">'6c- ADIT BOY'!$B$1:$H$106</definedName>
    <definedName name="Z_DC91DEF3_837B_4BB9_A81E_3B78C5914E6C_.wvu.PrintArea" localSheetId="11" hidden="1">'6d- ADIT EOY'!$B$1:$H$106</definedName>
    <definedName name="Z_DC91DEF3_837B_4BB9_A81E_3B78C5914E6C_.wvu.PrintArea" localSheetId="12" hidden="1">'6e-ADIT True-up'!$B$1:$G$48</definedName>
    <definedName name="Z_DC91DEF3_837B_4BB9_A81E_3B78C5914E6C_.wvu.PrintArea" localSheetId="13" hidden="1">'6f-ADIT True-up Proration'!$B$1:$F$74</definedName>
    <definedName name="Z_DC91DEF3_837B_4BB9_A81E_3B78C5914E6C_.wvu.PrintTitles" localSheetId="6" hidden="1">'4 - Cap Adds'!$C:$D</definedName>
    <definedName name="Z_F96D6087_3330_4A81_95EC_26BA83722A49_.wvu.Cols" localSheetId="6" hidden="1">'4 - Cap Adds'!$L:$AB</definedName>
    <definedName name="Z_F96D6087_3330_4A81_95EC_26BA83722A49_.wvu.PrintTitles" localSheetId="6" hidden="1">'4 - Cap Adds'!$C:$D</definedName>
    <definedName name="Z_FAAD9AAC_1337_43AB_BF1F_CCF9DFCF5B78_.wvu.Cols" localSheetId="6" hidden="1">'4 - Cap Adds'!$L:$AB</definedName>
    <definedName name="Z_FAAD9AAC_1337_43AB_BF1F_CCF9DFCF5B78_.wvu.Cols" localSheetId="8" hidden="1">'6a-ADIT Projection'!#REF!</definedName>
    <definedName name="Z_FAAD9AAC_1337_43AB_BF1F_CCF9DFCF5B78_.wvu.Cols" localSheetId="9" hidden="1">'6b-ADIT Projection Proration'!#REF!</definedName>
    <definedName name="Z_FAAD9AAC_1337_43AB_BF1F_CCF9DFCF5B78_.wvu.Cols" localSheetId="10" hidden="1">'6c- ADIT BOY'!#REF!</definedName>
    <definedName name="Z_FAAD9AAC_1337_43AB_BF1F_CCF9DFCF5B78_.wvu.Cols" localSheetId="11" hidden="1">'6d- ADIT EOY'!#REF!</definedName>
    <definedName name="Z_FAAD9AAC_1337_43AB_BF1F_CCF9DFCF5B78_.wvu.Cols" localSheetId="12" hidden="1">'6e-ADIT True-up'!#REF!</definedName>
    <definedName name="Z_FAAD9AAC_1337_43AB_BF1F_CCF9DFCF5B78_.wvu.Cols" localSheetId="13" hidden="1">'6f-ADIT True-up Proration'!#REF!</definedName>
    <definedName name="Z_FAAD9AAC_1337_43AB_BF1F_CCF9DFCF5B78_.wvu.PrintArea" localSheetId="8" hidden="1">'6a-ADIT Projection'!$B$1:$G$52</definedName>
    <definedName name="Z_FAAD9AAC_1337_43AB_BF1F_CCF9DFCF5B78_.wvu.PrintArea" localSheetId="9" hidden="1">'6b-ADIT Projection Proration'!$B$1:$H$74</definedName>
    <definedName name="Z_FAAD9AAC_1337_43AB_BF1F_CCF9DFCF5B78_.wvu.PrintArea" localSheetId="10" hidden="1">'6c- ADIT BOY'!$B$1:$H$106</definedName>
    <definedName name="Z_FAAD9AAC_1337_43AB_BF1F_CCF9DFCF5B78_.wvu.PrintArea" localSheetId="11" hidden="1">'6d- ADIT EOY'!$B$1:$H$106</definedName>
    <definedName name="Z_FAAD9AAC_1337_43AB_BF1F_CCF9DFCF5B78_.wvu.PrintArea" localSheetId="12" hidden="1">'6e-ADIT True-up'!$B$1:$G$48</definedName>
    <definedName name="Z_FAAD9AAC_1337_43AB_BF1F_CCF9DFCF5B78_.wvu.PrintArea" localSheetId="13" hidden="1">'6f-ADIT True-up Proration'!$B$1:$F$74</definedName>
    <definedName name="Z_FAAD9AAC_1337_43AB_BF1F_CCF9DFCF5B78_.wvu.PrintTitles" localSheetId="6" hidden="1">'4 - Cap Adds'!$C:$D</definedName>
    <definedName name="zero">0</definedName>
    <definedName name="zz" localSheetId="19" hidden="1">{#N/A,#N/A,FALSE,"TOTFINAL";#N/A,#N/A,FALSE,"FINPLAN";#N/A,#N/A,FALSE,"TOTMOTADJ";#N/A,#N/A,FALSE,"tieEQ";#N/A,#N/A,FALSE,"G";#N/A,#N/A,FALSE,"ELIMS";#N/A,#N/A,FALSE,"NEXTEL ADJ";#N/A,#N/A,FALSE,"MIMS";#N/A,#N/A,FALSE,"LMPS";#N/A,#N/A,FALSE,"CNSS";#N/A,#N/A,FALSE,"CSS";#N/A,#N/A,FALSE,"MCG";#N/A,#N/A,FALSE,"AECS";#N/A,#N/A,FALSE,"SPS";#N/A,#N/A,FALSE,"CORP"}</definedName>
    <definedName name="zz" hidden="1">{#N/A,#N/A,FALSE,"TOTFINAL";#N/A,#N/A,FALSE,"FINPLAN";#N/A,#N/A,FALSE,"TOTMOTADJ";#N/A,#N/A,FALSE,"tieEQ";#N/A,#N/A,FALSE,"G";#N/A,#N/A,FALSE,"ELIMS";#N/A,#N/A,FALSE,"NEXTEL ADJ";#N/A,#N/A,FALSE,"MIMS";#N/A,#N/A,FALSE,"LMPS";#N/A,#N/A,FALSE,"CNSS";#N/A,#N/A,FALSE,"CSS";#N/A,#N/A,FALSE,"MCG";#N/A,#N/A,FALSE,"AECS";#N/A,#N/A,FALSE,"SPS";#N/A,#N/A,FALSE,"CORP"}</definedName>
    <definedName name="zzzz" localSheetId="19" hidden="1">{#N/A,#N/A,FALSE,"TOTFINAL";#N/A,#N/A,FALSE,"FINPLAN";#N/A,#N/A,FALSE,"TOTMOTADJ";#N/A,#N/A,FALSE,"tieEQ";#N/A,#N/A,FALSE,"G";#N/A,#N/A,FALSE,"ELIMS";#N/A,#N/A,FALSE,"NEXTEL ADJ";#N/A,#N/A,FALSE,"MIMS";#N/A,#N/A,FALSE,"LMPS";#N/A,#N/A,FALSE,"CNSS";#N/A,#N/A,FALSE,"CSS";#N/A,#N/A,FALSE,"MCG";#N/A,#N/A,FALSE,"AECS";#N/A,#N/A,FALSE,"SPS";#N/A,#N/A,FALSE,"CORP"}</definedName>
    <definedName name="zzzz" hidden="1">{#N/A,#N/A,FALSE,"TOTFINAL";#N/A,#N/A,FALSE,"FINPLAN";#N/A,#N/A,FALSE,"TOTMOTADJ";#N/A,#N/A,FALSE,"tieEQ";#N/A,#N/A,FALSE,"G";#N/A,#N/A,FALSE,"ELIMS";#N/A,#N/A,FALSE,"NEXTEL ADJ";#N/A,#N/A,FALSE,"MIMS";#N/A,#N/A,FALSE,"LMPS";#N/A,#N/A,FALSE,"CNSS";#N/A,#N/A,FALSE,"CSS";#N/A,#N/A,FALSE,"MCG";#N/A,#N/A,FALSE,"AECS";#N/A,#N/A,FALSE,"SPS";#N/A,#N/A,FALSE,"CORP"}</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0" l="1"/>
  <c r="Q18" i="19"/>
  <c r="AH17" i="19"/>
  <c r="AD17" i="19"/>
  <c r="AJ17" i="19" s="1"/>
  <c r="L17" i="19"/>
  <c r="P17" i="19" s="1"/>
  <c r="H17" i="19"/>
  <c r="AJ16" i="19"/>
  <c r="AH16" i="19"/>
  <c r="AD16" i="19"/>
  <c r="L16" i="19"/>
  <c r="P16" i="19" s="1"/>
  <c r="H16" i="19"/>
  <c r="AH15" i="19"/>
  <c r="AD15" i="19"/>
  <c r="AJ15" i="19" s="1"/>
  <c r="L15" i="19"/>
  <c r="P15" i="19" s="1"/>
  <c r="H15" i="19"/>
  <c r="AJ14" i="19"/>
  <c r="AH14" i="19"/>
  <c r="AD14" i="19"/>
  <c r="L14" i="19"/>
  <c r="P14" i="19" s="1"/>
  <c r="H14" i="19"/>
  <c r="AH13" i="19"/>
  <c r="AD13" i="19"/>
  <c r="AJ13" i="19" s="1"/>
  <c r="L13" i="19"/>
  <c r="P13" i="19" s="1"/>
  <c r="H13" i="19"/>
  <c r="AJ12" i="19"/>
  <c r="AH12" i="19"/>
  <c r="AD12" i="19"/>
  <c r="L12" i="19"/>
  <c r="P12" i="19" s="1"/>
  <c r="H12" i="19"/>
  <c r="AH11" i="19"/>
  <c r="AD11" i="19"/>
  <c r="AJ11" i="19" s="1"/>
  <c r="L11" i="19"/>
  <c r="P11" i="19" s="1"/>
  <c r="H11" i="19"/>
  <c r="AJ10" i="19"/>
  <c r="AH10" i="19"/>
  <c r="AD10" i="19"/>
  <c r="L10" i="19"/>
  <c r="P10" i="19" s="1"/>
  <c r="H10" i="19"/>
  <c r="AH9" i="19"/>
  <c r="AD9" i="19"/>
  <c r="AJ9" i="19" s="1"/>
  <c r="L9" i="19"/>
  <c r="P9" i="19" s="1"/>
  <c r="H9" i="19"/>
  <c r="AH8" i="19"/>
  <c r="AC18" i="19"/>
  <c r="P8" i="19"/>
  <c r="F8" i="19"/>
  <c r="H8" i="19"/>
  <c r="L8" i="19" s="1"/>
  <c r="Q7" i="19"/>
  <c r="E17" i="18"/>
  <c r="E16" i="18"/>
  <c r="E15" i="18"/>
  <c r="E14" i="18"/>
  <c r="E13" i="18"/>
  <c r="E12" i="18"/>
  <c r="E11" i="18"/>
  <c r="E10" i="18"/>
  <c r="E9" i="18"/>
  <c r="E8" i="18"/>
  <c r="E18" i="18" s="1"/>
  <c r="F1" i="18"/>
  <c r="A34" i="17"/>
  <c r="A35" i="17" s="1"/>
  <c r="A36" i="17" s="1"/>
  <c r="A37" i="17" s="1"/>
  <c r="A38" i="17" s="1"/>
  <c r="A22" i="17"/>
  <c r="A23" i="17" s="1"/>
  <c r="A24" i="17" s="1"/>
  <c r="A25" i="17" s="1"/>
  <c r="A26" i="17" s="1"/>
  <c r="A27" i="17" s="1"/>
  <c r="A28" i="17" s="1"/>
  <c r="A29" i="17" s="1"/>
  <c r="A30" i="17" s="1"/>
  <c r="A16" i="17"/>
  <c r="A17" i="17" s="1"/>
  <c r="A18" i="17" s="1"/>
  <c r="A19" i="17" s="1"/>
  <c r="A12" i="17"/>
  <c r="A13" i="17" s="1"/>
  <c r="A14" i="17" s="1"/>
  <c r="A15" i="17" s="1"/>
  <c r="A11" i="17"/>
  <c r="U32" i="16"/>
  <c r="Y32" i="16" s="1"/>
  <c r="U31" i="16"/>
  <c r="Y31" i="16" s="1"/>
  <c r="U30" i="16"/>
  <c r="Y30" i="16" s="1"/>
  <c r="U29" i="16"/>
  <c r="Y29" i="16" s="1"/>
  <c r="U28" i="16"/>
  <c r="Y28" i="16" s="1"/>
  <c r="U27" i="16"/>
  <c r="Y27" i="16" s="1"/>
  <c r="U26" i="16"/>
  <c r="Y26" i="16" s="1"/>
  <c r="U25" i="16"/>
  <c r="Y25" i="16" s="1"/>
  <c r="U24" i="16"/>
  <c r="Y24" i="16" s="1"/>
  <c r="U23" i="16"/>
  <c r="Y23" i="16" s="1"/>
  <c r="U22" i="16"/>
  <c r="Y22" i="16" s="1"/>
  <c r="U21" i="16"/>
  <c r="Y21" i="16" s="1"/>
  <c r="U20" i="16"/>
  <c r="Y20" i="16" s="1"/>
  <c r="U19" i="16"/>
  <c r="Y19" i="16" s="1"/>
  <c r="U18" i="16"/>
  <c r="Y18" i="16" s="1"/>
  <c r="U17" i="16"/>
  <c r="Y17" i="16" s="1"/>
  <c r="U16" i="16"/>
  <c r="Y16" i="16" s="1"/>
  <c r="U15" i="16"/>
  <c r="Y15" i="16" s="1"/>
  <c r="U14" i="16"/>
  <c r="Y14" i="16" s="1"/>
  <c r="U13" i="16"/>
  <c r="Y13" i="16" s="1"/>
  <c r="U12" i="16"/>
  <c r="Y12" i="16" s="1"/>
  <c r="U11" i="16"/>
  <c r="Y11" i="16" s="1"/>
  <c r="U10" i="16"/>
  <c r="Y10" i="16" s="1"/>
  <c r="U9" i="16"/>
  <c r="Y9" i="16" s="1"/>
  <c r="U8" i="16"/>
  <c r="Y8" i="16" s="1"/>
  <c r="W32" i="15"/>
  <c r="Q32" i="15"/>
  <c r="W31" i="15"/>
  <c r="Q31" i="15"/>
  <c r="W30" i="15"/>
  <c r="Q30" i="15"/>
  <c r="W29" i="15"/>
  <c r="Q29" i="15"/>
  <c r="W28" i="15"/>
  <c r="Q28" i="15"/>
  <c r="W27" i="15"/>
  <c r="Q27" i="15"/>
  <c r="W26" i="15"/>
  <c r="Q26" i="15"/>
  <c r="W25" i="15"/>
  <c r="Q25" i="15"/>
  <c r="W24" i="15"/>
  <c r="Q24" i="15"/>
  <c r="W23" i="15"/>
  <c r="Q23" i="15"/>
  <c r="W22" i="15"/>
  <c r="Q22" i="15"/>
  <c r="W21" i="15"/>
  <c r="Q21" i="15"/>
  <c r="W20" i="15"/>
  <c r="Q20" i="15"/>
  <c r="W19" i="15"/>
  <c r="Q19" i="15"/>
  <c r="W18" i="15"/>
  <c r="Q18" i="15"/>
  <c r="W17" i="15"/>
  <c r="Q17" i="15"/>
  <c r="W16" i="15"/>
  <c r="Q16" i="15"/>
  <c r="W15" i="15"/>
  <c r="Q15" i="15"/>
  <c r="W14" i="15"/>
  <c r="Q14" i="15"/>
  <c r="W13" i="15"/>
  <c r="Q13" i="15"/>
  <c r="W12" i="15"/>
  <c r="Q12" i="15"/>
  <c r="W11" i="15"/>
  <c r="Q11" i="15"/>
  <c r="W10" i="15"/>
  <c r="Q10" i="15"/>
  <c r="W9" i="15"/>
  <c r="Q9" i="15"/>
  <c r="W8" i="15"/>
  <c r="Q8" i="15"/>
  <c r="Q33" i="15" s="1"/>
  <c r="D7" i="15"/>
  <c r="AA54" i="14"/>
  <c r="R54" i="14"/>
  <c r="I54" i="14"/>
  <c r="AB53" i="14"/>
  <c r="AC53" i="14" s="1"/>
  <c r="X53" i="14"/>
  <c r="Y53" i="14" s="1"/>
  <c r="O53" i="14"/>
  <c r="P53" i="14" s="1"/>
  <c r="F53" i="14"/>
  <c r="G53" i="14" s="1"/>
  <c r="E53" i="14"/>
  <c r="AB52" i="14"/>
  <c r="X52" i="14"/>
  <c r="S52" i="14"/>
  <c r="T52" i="14" s="1"/>
  <c r="U52" i="14" s="1"/>
  <c r="O52" i="14"/>
  <c r="J52" i="14"/>
  <c r="K52" i="14" s="1"/>
  <c r="L52" i="14" s="1"/>
  <c r="F52" i="14"/>
  <c r="E52" i="14"/>
  <c r="AE51" i="14"/>
  <c r="Y51" i="14"/>
  <c r="X51" i="14"/>
  <c r="AB51" i="14" s="1"/>
  <c r="AC51" i="14" s="1"/>
  <c r="AD51" i="14" s="1"/>
  <c r="V51" i="14"/>
  <c r="P51" i="14"/>
  <c r="O51" i="14"/>
  <c r="S51" i="14" s="1"/>
  <c r="T51" i="14" s="1"/>
  <c r="U51" i="14" s="1"/>
  <c r="M51" i="14"/>
  <c r="G51" i="14"/>
  <c r="F51" i="14"/>
  <c r="J51" i="14" s="1"/>
  <c r="K51" i="14" s="1"/>
  <c r="L51" i="14" s="1"/>
  <c r="E51" i="14"/>
  <c r="AD50" i="14"/>
  <c r="AC50" i="14"/>
  <c r="AE50" i="14" s="1"/>
  <c r="AB50" i="14"/>
  <c r="Y50" i="14"/>
  <c r="X50" i="14"/>
  <c r="T50" i="14"/>
  <c r="V50" i="14" s="1"/>
  <c r="S50" i="14"/>
  <c r="P50" i="14"/>
  <c r="O50" i="14"/>
  <c r="K50" i="14"/>
  <c r="J50" i="14"/>
  <c r="G50" i="14"/>
  <c r="F50" i="14"/>
  <c r="E50" i="14"/>
  <c r="X49" i="14"/>
  <c r="AB49" i="14" s="1"/>
  <c r="AC49" i="14" s="1"/>
  <c r="O49" i="14"/>
  <c r="S49" i="14" s="1"/>
  <c r="T49" i="14" s="1"/>
  <c r="F49" i="14"/>
  <c r="J49" i="14" s="1"/>
  <c r="K49" i="14" s="1"/>
  <c r="E49" i="14"/>
  <c r="AB48" i="14"/>
  <c r="AC48" i="14" s="1"/>
  <c r="X48" i="14"/>
  <c r="S48" i="14"/>
  <c r="T48" i="14" s="1"/>
  <c r="O48" i="14"/>
  <c r="J48" i="14"/>
  <c r="K48" i="14" s="1"/>
  <c r="F48" i="14"/>
  <c r="E48" i="14"/>
  <c r="X47" i="14"/>
  <c r="AB47" i="14" s="1"/>
  <c r="AC47" i="14" s="1"/>
  <c r="V47" i="14"/>
  <c r="O47" i="14"/>
  <c r="S47" i="14" s="1"/>
  <c r="T47" i="14" s="1"/>
  <c r="U47" i="14" s="1"/>
  <c r="F47" i="14"/>
  <c r="J47" i="14" s="1"/>
  <c r="K47" i="14" s="1"/>
  <c r="E47" i="14"/>
  <c r="Y47" i="14" s="1"/>
  <c r="X46" i="14"/>
  <c r="AB46" i="14" s="1"/>
  <c r="AC46" i="14" s="1"/>
  <c r="AE46" i="14" s="1"/>
  <c r="P46" i="14"/>
  <c r="O46" i="14"/>
  <c r="S46" i="14" s="1"/>
  <c r="T46" i="14" s="1"/>
  <c r="F46" i="14"/>
  <c r="J46" i="14" s="1"/>
  <c r="K46" i="14" s="1"/>
  <c r="M46" i="14" s="1"/>
  <c r="E46" i="14"/>
  <c r="AB45" i="14"/>
  <c r="AC45" i="14" s="1"/>
  <c r="X45" i="14"/>
  <c r="Y45" i="14" s="1"/>
  <c r="O45" i="14"/>
  <c r="P45" i="14" s="1"/>
  <c r="F45" i="14"/>
  <c r="G45" i="14" s="1"/>
  <c r="E45" i="14"/>
  <c r="AB44" i="14"/>
  <c r="X44" i="14"/>
  <c r="S44" i="14"/>
  <c r="T44" i="14" s="1"/>
  <c r="U44" i="14" s="1"/>
  <c r="O44" i="14"/>
  <c r="J44" i="14"/>
  <c r="K44" i="14" s="1"/>
  <c r="L44" i="14" s="1"/>
  <c r="F44" i="14"/>
  <c r="E44" i="14"/>
  <c r="AE43" i="14"/>
  <c r="Y43" i="14"/>
  <c r="X43" i="14"/>
  <c r="AB43" i="14" s="1"/>
  <c r="AC43" i="14" s="1"/>
  <c r="AD43" i="14" s="1"/>
  <c r="P43" i="14"/>
  <c r="O43" i="14"/>
  <c r="S43" i="14" s="1"/>
  <c r="T43" i="14" s="1"/>
  <c r="U43" i="14" s="1"/>
  <c r="M43" i="14"/>
  <c r="G43" i="14"/>
  <c r="F43" i="14"/>
  <c r="J43" i="14" s="1"/>
  <c r="K43" i="14" s="1"/>
  <c r="L43" i="14" s="1"/>
  <c r="E43" i="14"/>
  <c r="AC42" i="14"/>
  <c r="AE42" i="14" s="1"/>
  <c r="AB42" i="14"/>
  <c r="Y42" i="14"/>
  <c r="X42" i="14"/>
  <c r="T42" i="14"/>
  <c r="V42" i="14" s="1"/>
  <c r="S42" i="14"/>
  <c r="P42" i="14"/>
  <c r="O42" i="14"/>
  <c r="K42" i="14"/>
  <c r="J42" i="14"/>
  <c r="G42" i="14"/>
  <c r="F42" i="14"/>
  <c r="E42" i="14"/>
  <c r="D42" i="14"/>
  <c r="Z41" i="14"/>
  <c r="Q41" i="14"/>
  <c r="H41" i="14"/>
  <c r="E41" i="14"/>
  <c r="D41" i="14"/>
  <c r="AA38" i="14"/>
  <c r="R38" i="14"/>
  <c r="AB37" i="14"/>
  <c r="AC37" i="14" s="1"/>
  <c r="X37" i="14"/>
  <c r="O37" i="14"/>
  <c r="S37" i="14" s="1"/>
  <c r="T37" i="14" s="1"/>
  <c r="E37" i="14"/>
  <c r="X36" i="14"/>
  <c r="AB36" i="14" s="1"/>
  <c r="AC36" i="14" s="1"/>
  <c r="O36" i="14"/>
  <c r="S36" i="14" s="1"/>
  <c r="T36" i="14" s="1"/>
  <c r="E36" i="14"/>
  <c r="Y36" i="14" s="1"/>
  <c r="X35" i="14"/>
  <c r="AB35" i="14" s="1"/>
  <c r="AC35" i="14" s="1"/>
  <c r="T35" i="14"/>
  <c r="O35" i="14"/>
  <c r="S35" i="14" s="1"/>
  <c r="E35" i="14"/>
  <c r="X34" i="14"/>
  <c r="AB34" i="14" s="1"/>
  <c r="AC34" i="14" s="1"/>
  <c r="O34" i="14"/>
  <c r="S34" i="14" s="1"/>
  <c r="T34" i="14" s="1"/>
  <c r="E34" i="14"/>
  <c r="Y34" i="14" s="1"/>
  <c r="X33" i="14"/>
  <c r="AB33" i="14" s="1"/>
  <c r="AC33" i="14" s="1"/>
  <c r="T33" i="14"/>
  <c r="U33" i="14" s="1"/>
  <c r="S33" i="14"/>
  <c r="O33" i="14"/>
  <c r="E33" i="14"/>
  <c r="X32" i="14"/>
  <c r="AB32" i="14" s="1"/>
  <c r="AC32" i="14" s="1"/>
  <c r="O32" i="14"/>
  <c r="S32" i="14" s="1"/>
  <c r="T32" i="14" s="1"/>
  <c r="E32" i="14"/>
  <c r="AB31" i="14"/>
  <c r="AC31" i="14" s="1"/>
  <c r="X31" i="14"/>
  <c r="O31" i="14"/>
  <c r="S31" i="14" s="1"/>
  <c r="T31" i="14" s="1"/>
  <c r="E31" i="14"/>
  <c r="AC30" i="14"/>
  <c r="AD30" i="14" s="1"/>
  <c r="X30" i="14"/>
  <c r="AB30" i="14" s="1"/>
  <c r="O30" i="14"/>
  <c r="S30" i="14" s="1"/>
  <c r="T30" i="14" s="1"/>
  <c r="E30" i="14"/>
  <c r="AB29" i="14"/>
  <c r="AC29" i="14" s="1"/>
  <c r="AD29" i="14" s="1"/>
  <c r="X29" i="14"/>
  <c r="T29" i="14"/>
  <c r="S29" i="14"/>
  <c r="O29" i="14"/>
  <c r="E29" i="14"/>
  <c r="AC28" i="14"/>
  <c r="AB28" i="14"/>
  <c r="X28" i="14"/>
  <c r="S28" i="14"/>
  <c r="T28" i="14" s="1"/>
  <c r="P28" i="14"/>
  <c r="O28" i="14"/>
  <c r="E28" i="14"/>
  <c r="Y28" i="14" s="1"/>
  <c r="X27" i="14"/>
  <c r="AB27" i="14" s="1"/>
  <c r="O27" i="14"/>
  <c r="S27" i="14" s="1"/>
  <c r="E27" i="14"/>
  <c r="AB26" i="14"/>
  <c r="Y26" i="14"/>
  <c r="X26" i="14"/>
  <c r="S26" i="14"/>
  <c r="T26" i="14" s="1"/>
  <c r="P26" i="14"/>
  <c r="O26" i="14"/>
  <c r="E26" i="14"/>
  <c r="D26" i="14"/>
  <c r="Z25" i="14"/>
  <c r="Q25" i="14"/>
  <c r="E25" i="14"/>
  <c r="D25" i="14"/>
  <c r="AA22" i="14"/>
  <c r="R22" i="14"/>
  <c r="AC21" i="14"/>
  <c r="AE21" i="14" s="1"/>
  <c r="AB21" i="14"/>
  <c r="X21" i="14"/>
  <c r="S21" i="14"/>
  <c r="T21" i="14" s="1"/>
  <c r="O21" i="14"/>
  <c r="E21" i="14"/>
  <c r="Y21" i="14" s="1"/>
  <c r="Y20" i="14"/>
  <c r="X20" i="14"/>
  <c r="AB20" i="14" s="1"/>
  <c r="AC20" i="14" s="1"/>
  <c r="P20" i="14"/>
  <c r="O20" i="14"/>
  <c r="S20" i="14" s="1"/>
  <c r="T20" i="14" s="1"/>
  <c r="E20" i="14"/>
  <c r="AD19" i="14"/>
  <c r="AC19" i="14"/>
  <c r="AE19" i="14" s="1"/>
  <c r="AB19" i="14"/>
  <c r="X19" i="14"/>
  <c r="S19" i="14"/>
  <c r="T19" i="14" s="1"/>
  <c r="O19" i="14"/>
  <c r="E19" i="14"/>
  <c r="Y19" i="14" s="1"/>
  <c r="X18" i="14"/>
  <c r="AB18" i="14" s="1"/>
  <c r="AC18" i="14" s="1"/>
  <c r="P18" i="14"/>
  <c r="O18" i="14"/>
  <c r="S18" i="14" s="1"/>
  <c r="T18" i="14" s="1"/>
  <c r="E18" i="14"/>
  <c r="AD17" i="14"/>
  <c r="AC17" i="14"/>
  <c r="AE17" i="14" s="1"/>
  <c r="AB17" i="14"/>
  <c r="X17" i="14"/>
  <c r="T17" i="14"/>
  <c r="V17" i="14" s="1"/>
  <c r="S17" i="14"/>
  <c r="O17" i="14"/>
  <c r="E17" i="14"/>
  <c r="Y17" i="14" s="1"/>
  <c r="Y16" i="14"/>
  <c r="X16" i="14"/>
  <c r="AB16" i="14" s="1"/>
  <c r="AC16" i="14" s="1"/>
  <c r="O16" i="14"/>
  <c r="S16" i="14" s="1"/>
  <c r="T16" i="14" s="1"/>
  <c r="E16" i="14"/>
  <c r="AB15" i="14"/>
  <c r="AC15" i="14" s="1"/>
  <c r="X15" i="14"/>
  <c r="S15" i="14"/>
  <c r="T15" i="14" s="1"/>
  <c r="O15" i="14"/>
  <c r="E15" i="14"/>
  <c r="Y15" i="14" s="1"/>
  <c r="Y14" i="14"/>
  <c r="X14" i="14"/>
  <c r="AB14" i="14" s="1"/>
  <c r="AC14" i="14" s="1"/>
  <c r="O14" i="14"/>
  <c r="S14" i="14" s="1"/>
  <c r="T14" i="14" s="1"/>
  <c r="E14" i="14"/>
  <c r="AB13" i="14"/>
  <c r="AC13" i="14" s="1"/>
  <c r="X13" i="14"/>
  <c r="T13" i="14"/>
  <c r="V13" i="14" s="1"/>
  <c r="S13" i="14"/>
  <c r="O13" i="14"/>
  <c r="E13" i="14"/>
  <c r="Y13" i="14" s="1"/>
  <c r="A13" i="14"/>
  <c r="A14" i="14" s="1"/>
  <c r="A15" i="14" s="1"/>
  <c r="A16" i="14" s="1"/>
  <c r="A17" i="14" s="1"/>
  <c r="A18" i="14" s="1"/>
  <c r="A19" i="14" s="1"/>
  <c r="A20" i="14" s="1"/>
  <c r="A21" i="14" s="1"/>
  <c r="A22" i="14" s="1"/>
  <c r="A25" i="14" s="1"/>
  <c r="A26" i="14" s="1"/>
  <c r="A27" i="14" s="1"/>
  <c r="A28" i="14" s="1"/>
  <c r="A29" i="14" s="1"/>
  <c r="A30" i="14" s="1"/>
  <c r="A31" i="14" s="1"/>
  <c r="A32" i="14" s="1"/>
  <c r="A33" i="14" s="1"/>
  <c r="A34" i="14" s="1"/>
  <c r="A35" i="14" s="1"/>
  <c r="A36" i="14" s="1"/>
  <c r="A37" i="14" s="1"/>
  <c r="A38" i="14" s="1"/>
  <c r="A41" i="14" s="1"/>
  <c r="A42" i="14" s="1"/>
  <c r="A43" i="14" s="1"/>
  <c r="A44" i="14" s="1"/>
  <c r="A45" i="14" s="1"/>
  <c r="A46" i="14" s="1"/>
  <c r="A47" i="14" s="1"/>
  <c r="A48" i="14" s="1"/>
  <c r="A49" i="14" s="1"/>
  <c r="A50" i="14" s="1"/>
  <c r="A51" i="14" s="1"/>
  <c r="A52" i="14" s="1"/>
  <c r="A53" i="14" s="1"/>
  <c r="A54" i="14" s="1"/>
  <c r="Y12" i="14"/>
  <c r="X12" i="14"/>
  <c r="AB12" i="14" s="1"/>
  <c r="AC12" i="14" s="1"/>
  <c r="O12" i="14"/>
  <c r="S12" i="14" s="1"/>
  <c r="T12" i="14" s="1"/>
  <c r="E12" i="14"/>
  <c r="AB11" i="14"/>
  <c r="AC11" i="14" s="1"/>
  <c r="X11" i="14"/>
  <c r="U11" i="14"/>
  <c r="T11" i="14"/>
  <c r="V11" i="14" s="1"/>
  <c r="S11" i="14"/>
  <c r="O11" i="14"/>
  <c r="E11" i="14"/>
  <c r="Y11" i="14" s="1"/>
  <c r="D11" i="14"/>
  <c r="D27" i="14" s="1"/>
  <c r="A11" i="14"/>
  <c r="A12" i="14" s="1"/>
  <c r="X10" i="14"/>
  <c r="P10" i="14"/>
  <c r="O10" i="14"/>
  <c r="E10" i="14"/>
  <c r="A10" i="14"/>
  <c r="E9" i="14"/>
  <c r="D36" i="13"/>
  <c r="D30" i="13"/>
  <c r="G29" i="13"/>
  <c r="D24" i="13"/>
  <c r="G13" i="13"/>
  <c r="A11" i="13"/>
  <c r="A12" i="13" s="1"/>
  <c r="A13" i="13" s="1"/>
  <c r="A14" i="13" s="1"/>
  <c r="A15" i="13" s="1"/>
  <c r="A16" i="13" s="1"/>
  <c r="A22" i="13" s="1"/>
  <c r="A23" i="13" s="1"/>
  <c r="A24" i="13" s="1"/>
  <c r="A25" i="13" s="1"/>
  <c r="A28" i="13" s="1"/>
  <c r="A29" i="13" s="1"/>
  <c r="A30" i="13" s="1"/>
  <c r="A31" i="13" s="1"/>
  <c r="A34" i="13" s="1"/>
  <c r="A35" i="13" s="1"/>
  <c r="A36" i="13" s="1"/>
  <c r="A37" i="13" s="1"/>
  <c r="A10" i="13"/>
  <c r="A2" i="14"/>
  <c r="G78" i="12"/>
  <c r="H29" i="13" s="1"/>
  <c r="F78" i="12"/>
  <c r="C76" i="12"/>
  <c r="G75" i="12"/>
  <c r="F75" i="12"/>
  <c r="D75" i="12"/>
  <c r="D78" i="12" s="1"/>
  <c r="I26" i="14"/>
  <c r="C65" i="12"/>
  <c r="F54" i="12"/>
  <c r="D54" i="12"/>
  <c r="G51" i="12"/>
  <c r="G54" i="12" s="1"/>
  <c r="F51" i="12"/>
  <c r="D51" i="12"/>
  <c r="I10" i="14"/>
  <c r="C50" i="12"/>
  <c r="G29" i="12"/>
  <c r="G32" i="12" s="1"/>
  <c r="F29" i="12"/>
  <c r="F32" i="12" s="1"/>
  <c r="D29" i="12"/>
  <c r="D32" i="12" s="1"/>
  <c r="C19" i="12"/>
  <c r="C29" i="12" s="1"/>
  <c r="C32" i="12" s="1"/>
  <c r="E35" i="13" s="1"/>
  <c r="A12" i="12"/>
  <c r="A19" i="12" s="1"/>
  <c r="A20" i="12" s="1"/>
  <c r="A21" i="12" s="1"/>
  <c r="A22" i="12" s="1"/>
  <c r="A23" i="12" s="1"/>
  <c r="A24" i="12" s="1"/>
  <c r="A25" i="12" s="1"/>
  <c r="A26" i="12" s="1"/>
  <c r="A27" i="12" s="1"/>
  <c r="A28" i="12" s="1"/>
  <c r="A29" i="12" s="1"/>
  <c r="A30" i="12" s="1"/>
  <c r="A31" i="12" s="1"/>
  <c r="A32" i="12" s="1"/>
  <c r="A43" i="12" s="1"/>
  <c r="A44" i="12" s="1"/>
  <c r="A45" i="12" s="1"/>
  <c r="A46" i="12" s="1"/>
  <c r="A47" i="12" s="1"/>
  <c r="A48" i="12" s="1"/>
  <c r="A49" i="12" s="1"/>
  <c r="A50" i="12" s="1"/>
  <c r="A51" i="12" s="1"/>
  <c r="A52" i="12" s="1"/>
  <c r="A53" i="12" s="1"/>
  <c r="A54" i="12" s="1"/>
  <c r="A65" i="12" s="1"/>
  <c r="A66" i="12" s="1"/>
  <c r="A67" i="12" s="1"/>
  <c r="A68" i="12" s="1"/>
  <c r="A69" i="12" s="1"/>
  <c r="A70" i="12" s="1"/>
  <c r="A71" i="12" s="1"/>
  <c r="A72" i="12" s="1"/>
  <c r="A73" i="12" s="1"/>
  <c r="A74" i="12" s="1"/>
  <c r="A75" i="12" s="1"/>
  <c r="A76" i="12" s="1"/>
  <c r="A77" i="12" s="1"/>
  <c r="A78" i="12" s="1"/>
  <c r="F10" i="12"/>
  <c r="A10" i="12"/>
  <c r="A11" i="12" s="1"/>
  <c r="D78" i="11"/>
  <c r="C76" i="11"/>
  <c r="G75" i="11"/>
  <c r="G78" i="11" s="1"/>
  <c r="F75" i="11"/>
  <c r="F78" i="11" s="1"/>
  <c r="D75" i="11"/>
  <c r="C74" i="11"/>
  <c r="E52" i="11"/>
  <c r="C52" i="11" s="1"/>
  <c r="G51" i="11"/>
  <c r="G54" i="11" s="1"/>
  <c r="F51" i="11"/>
  <c r="F54" i="11" s="1"/>
  <c r="E51" i="11"/>
  <c r="E54" i="11" s="1"/>
  <c r="D51" i="11"/>
  <c r="D54" i="11" s="1"/>
  <c r="C50" i="11"/>
  <c r="C51" i="11" s="1"/>
  <c r="C54" i="11" s="1"/>
  <c r="E22" i="13" s="1"/>
  <c r="C43" i="11"/>
  <c r="F32" i="11"/>
  <c r="G29" i="11"/>
  <c r="G32" i="11" s="1"/>
  <c r="F29" i="11"/>
  <c r="E29" i="11"/>
  <c r="E32" i="11" s="1"/>
  <c r="D29" i="11"/>
  <c r="D32" i="11" s="1"/>
  <c r="A25" i="11"/>
  <c r="A26" i="11" s="1"/>
  <c r="A27" i="11" s="1"/>
  <c r="A28" i="11" s="1"/>
  <c r="A29" i="11" s="1"/>
  <c r="A30" i="11" s="1"/>
  <c r="A31" i="11" s="1"/>
  <c r="A32" i="11" s="1"/>
  <c r="A43" i="11" s="1"/>
  <c r="A44" i="11" s="1"/>
  <c r="A45" i="11" s="1"/>
  <c r="A46" i="11" s="1"/>
  <c r="A47" i="11" s="1"/>
  <c r="A48" i="11" s="1"/>
  <c r="A49" i="11" s="1"/>
  <c r="A50" i="11" s="1"/>
  <c r="A51" i="11" s="1"/>
  <c r="A52" i="11" s="1"/>
  <c r="A53" i="11" s="1"/>
  <c r="A54" i="11" s="1"/>
  <c r="A65" i="11" s="1"/>
  <c r="A66" i="11" s="1"/>
  <c r="A67" i="11" s="1"/>
  <c r="A68" i="11" s="1"/>
  <c r="A69" i="11" s="1"/>
  <c r="A70" i="11" s="1"/>
  <c r="A71" i="11" s="1"/>
  <c r="A72" i="11" s="1"/>
  <c r="A73" i="11" s="1"/>
  <c r="A74" i="11" s="1"/>
  <c r="A75" i="11" s="1"/>
  <c r="A76" i="11" s="1"/>
  <c r="A77" i="11" s="1"/>
  <c r="A78" i="11" s="1"/>
  <c r="C19" i="11"/>
  <c r="C29" i="11" s="1"/>
  <c r="C32" i="11" s="1"/>
  <c r="E34" i="13" s="1"/>
  <c r="A19" i="11"/>
  <c r="A20" i="11" s="1"/>
  <c r="A21" i="11" s="1"/>
  <c r="A22" i="11" s="1"/>
  <c r="A23" i="11" s="1"/>
  <c r="A24" i="11" s="1"/>
  <c r="A11" i="11"/>
  <c r="A12" i="11" s="1"/>
  <c r="A10" i="11"/>
  <c r="L53" i="10"/>
  <c r="J53" i="10"/>
  <c r="E53" i="10"/>
  <c r="H53" i="10" s="1"/>
  <c r="L52" i="10"/>
  <c r="J52" i="10"/>
  <c r="H52" i="10"/>
  <c r="E52" i="10"/>
  <c r="E51" i="10"/>
  <c r="E50" i="10"/>
  <c r="L50" i="10" s="1"/>
  <c r="L49" i="10"/>
  <c r="J49" i="10"/>
  <c r="E49" i="10"/>
  <c r="H49" i="10" s="1"/>
  <c r="L48" i="10"/>
  <c r="J48" i="10"/>
  <c r="H48" i="10"/>
  <c r="E48" i="10"/>
  <c r="E47" i="10"/>
  <c r="E46" i="10"/>
  <c r="L46" i="10" s="1"/>
  <c r="L45" i="10"/>
  <c r="J45" i="10"/>
  <c r="E45" i="10"/>
  <c r="H45" i="10" s="1"/>
  <c r="L44" i="10"/>
  <c r="J44" i="10"/>
  <c r="H44" i="10"/>
  <c r="E44" i="10"/>
  <c r="E43" i="10"/>
  <c r="E42" i="10"/>
  <c r="L42" i="10" s="1"/>
  <c r="G41" i="10"/>
  <c r="G54" i="10" s="1"/>
  <c r="F41" i="10"/>
  <c r="F54" i="10" s="1"/>
  <c r="E36" i="9" s="1"/>
  <c r="E41" i="10"/>
  <c r="D41" i="10"/>
  <c r="F38" i="10"/>
  <c r="G37" i="10"/>
  <c r="F37" i="14" s="1"/>
  <c r="G37" i="14" s="1"/>
  <c r="E37" i="10"/>
  <c r="L37" i="10" s="1"/>
  <c r="L36" i="10"/>
  <c r="J36" i="10"/>
  <c r="G36" i="10"/>
  <c r="F36" i="14" s="1"/>
  <c r="G36" i="14" s="1"/>
  <c r="E36" i="10"/>
  <c r="L35" i="10"/>
  <c r="J35" i="10"/>
  <c r="G35" i="10"/>
  <c r="F35" i="14" s="1"/>
  <c r="G35" i="14" s="1"/>
  <c r="E35" i="10"/>
  <c r="G34" i="10"/>
  <c r="F34" i="14" s="1"/>
  <c r="G34" i="14" s="1"/>
  <c r="E34" i="10"/>
  <c r="G33" i="10"/>
  <c r="F33" i="14" s="1"/>
  <c r="G33" i="14" s="1"/>
  <c r="E33" i="10"/>
  <c r="L33" i="10" s="1"/>
  <c r="L32" i="10"/>
  <c r="J32" i="10"/>
  <c r="G32" i="10"/>
  <c r="F32" i="14" s="1"/>
  <c r="G32" i="14" s="1"/>
  <c r="E32" i="10"/>
  <c r="L31" i="10"/>
  <c r="J31" i="10"/>
  <c r="G31" i="10"/>
  <c r="F31" i="14" s="1"/>
  <c r="E31" i="10"/>
  <c r="G30" i="10"/>
  <c r="F30" i="14" s="1"/>
  <c r="E30" i="10"/>
  <c r="G29" i="10"/>
  <c r="F29" i="14" s="1"/>
  <c r="G29" i="14" s="1"/>
  <c r="E29" i="10"/>
  <c r="L29" i="10" s="1"/>
  <c r="L28" i="10"/>
  <c r="J28" i="10"/>
  <c r="G28" i="10"/>
  <c r="F28" i="14" s="1"/>
  <c r="G28" i="14" s="1"/>
  <c r="E28" i="10"/>
  <c r="L27" i="10"/>
  <c r="J27" i="10"/>
  <c r="G27" i="10"/>
  <c r="F27" i="14" s="1"/>
  <c r="E27" i="10"/>
  <c r="G26" i="10"/>
  <c r="F26" i="14" s="1"/>
  <c r="E26" i="10"/>
  <c r="D26" i="10"/>
  <c r="D42" i="10" s="1"/>
  <c r="G25" i="10"/>
  <c r="E25" i="10"/>
  <c r="D25" i="10"/>
  <c r="F22" i="10"/>
  <c r="G21" i="10"/>
  <c r="F21" i="14" s="1"/>
  <c r="E21" i="10"/>
  <c r="L20" i="10"/>
  <c r="G20" i="10"/>
  <c r="F20" i="14" s="1"/>
  <c r="G20" i="14" s="1"/>
  <c r="E20" i="10"/>
  <c r="A20" i="10"/>
  <c r="A21" i="10" s="1"/>
  <c r="A22" i="10" s="1"/>
  <c r="A25" i="10" s="1"/>
  <c r="A26" i="10" s="1"/>
  <c r="A27" i="10" s="1"/>
  <c r="A28" i="10" s="1"/>
  <c r="A29" i="10" s="1"/>
  <c r="A30" i="10" s="1"/>
  <c r="A31" i="10" s="1"/>
  <c r="A32" i="10" s="1"/>
  <c r="A33" i="10" s="1"/>
  <c r="A34" i="10" s="1"/>
  <c r="A35" i="10" s="1"/>
  <c r="A36" i="10" s="1"/>
  <c r="A37" i="10" s="1"/>
  <c r="A38" i="10" s="1"/>
  <c r="A41" i="10" s="1"/>
  <c r="A42" i="10" s="1"/>
  <c r="A43" i="10" s="1"/>
  <c r="A44" i="10" s="1"/>
  <c r="A45" i="10" s="1"/>
  <c r="A46" i="10" s="1"/>
  <c r="A47" i="10" s="1"/>
  <c r="A48" i="10" s="1"/>
  <c r="A49" i="10" s="1"/>
  <c r="A50" i="10" s="1"/>
  <c r="A51" i="10" s="1"/>
  <c r="A52" i="10" s="1"/>
  <c r="A53" i="10" s="1"/>
  <c r="A54" i="10" s="1"/>
  <c r="J19" i="10"/>
  <c r="G19" i="10"/>
  <c r="F19" i="14" s="1"/>
  <c r="E19" i="10"/>
  <c r="H19" i="10" s="1"/>
  <c r="H18" i="10"/>
  <c r="G18" i="10"/>
  <c r="F18" i="14" s="1"/>
  <c r="G18" i="14" s="1"/>
  <c r="E18" i="10"/>
  <c r="J18" i="10" s="1"/>
  <c r="L17" i="10"/>
  <c r="J17" i="10"/>
  <c r="G17" i="10"/>
  <c r="E17" i="10"/>
  <c r="L16" i="10"/>
  <c r="G16" i="10"/>
  <c r="F16" i="14" s="1"/>
  <c r="G16" i="14" s="1"/>
  <c r="E16" i="10"/>
  <c r="J16" i="10" s="1"/>
  <c r="L15" i="10"/>
  <c r="J15" i="10"/>
  <c r="H15" i="10"/>
  <c r="G15" i="10"/>
  <c r="F15" i="14" s="1"/>
  <c r="G15" i="14" s="1"/>
  <c r="E15" i="10"/>
  <c r="G14" i="10"/>
  <c r="F14" i="14" s="1"/>
  <c r="G14" i="14" s="1"/>
  <c r="E14" i="10"/>
  <c r="J14" i="10" s="1"/>
  <c r="A14" i="10"/>
  <c r="A15" i="10" s="1"/>
  <c r="A16" i="10" s="1"/>
  <c r="A17" i="10" s="1"/>
  <c r="A18" i="10" s="1"/>
  <c r="A19" i="10" s="1"/>
  <c r="G13" i="10"/>
  <c r="F13" i="14" s="1"/>
  <c r="G13" i="14" s="1"/>
  <c r="E13" i="10"/>
  <c r="G12" i="10"/>
  <c r="F12" i="14" s="1"/>
  <c r="G12" i="14" s="1"/>
  <c r="E12" i="10"/>
  <c r="J11" i="10"/>
  <c r="G11" i="10"/>
  <c r="F11" i="14" s="1"/>
  <c r="G11" i="14" s="1"/>
  <c r="E11" i="10"/>
  <c r="D11" i="10"/>
  <c r="D27" i="10" s="1"/>
  <c r="D43" i="10" s="1"/>
  <c r="A11" i="10"/>
  <c r="A12" i="10" s="1"/>
  <c r="A13" i="10" s="1"/>
  <c r="L10" i="10"/>
  <c r="G10" i="10"/>
  <c r="F10" i="14" s="1"/>
  <c r="E10" i="10"/>
  <c r="J10" i="10" s="1"/>
  <c r="A10" i="10"/>
  <c r="L9" i="10"/>
  <c r="K9" i="10"/>
  <c r="K22" i="10" s="1"/>
  <c r="H9" i="10"/>
  <c r="G9" i="10"/>
  <c r="E9" i="10"/>
  <c r="H35" i="9"/>
  <c r="E35" i="9"/>
  <c r="D35" i="9"/>
  <c r="H34" i="9"/>
  <c r="F34" i="9"/>
  <c r="E34" i="9"/>
  <c r="D34" i="9"/>
  <c r="E30" i="9"/>
  <c r="D30" i="9"/>
  <c r="D36" i="9" s="1"/>
  <c r="H29" i="9"/>
  <c r="G29" i="9"/>
  <c r="D29" i="9"/>
  <c r="H28" i="9"/>
  <c r="G28" i="9"/>
  <c r="D28" i="9"/>
  <c r="E24" i="9"/>
  <c r="D24" i="9"/>
  <c r="H23" i="9"/>
  <c r="G23" i="9"/>
  <c r="H22" i="9"/>
  <c r="G22" i="9"/>
  <c r="F22" i="9"/>
  <c r="E22" i="9"/>
  <c r="G13" i="9"/>
  <c r="G11" i="9"/>
  <c r="F11" i="9"/>
  <c r="E11" i="9"/>
  <c r="A10" i="9"/>
  <c r="A11" i="9" s="1"/>
  <c r="A12" i="9" s="1"/>
  <c r="A13" i="9" s="1"/>
  <c r="A14" i="9" s="1"/>
  <c r="A15" i="9" s="1"/>
  <c r="A16" i="9" s="1"/>
  <c r="A22" i="9" s="1"/>
  <c r="A23" i="9" s="1"/>
  <c r="A24" i="9" s="1"/>
  <c r="A25" i="9" s="1"/>
  <c r="A28" i="9" s="1"/>
  <c r="A29" i="9" s="1"/>
  <c r="A30" i="9" s="1"/>
  <c r="A31" i="9" s="1"/>
  <c r="A34" i="9" s="1"/>
  <c r="A35" i="9" s="1"/>
  <c r="A36" i="9" s="1"/>
  <c r="A37" i="9" s="1"/>
  <c r="A2" i="9"/>
  <c r="A2" i="10" s="1"/>
  <c r="H22" i="8"/>
  <c r="H23" i="8" s="1"/>
  <c r="H24" i="8" s="1"/>
  <c r="H25" i="8" s="1"/>
  <c r="H26" i="8" s="1"/>
  <c r="H27" i="8" s="1"/>
  <c r="H28" i="8" s="1"/>
  <c r="H29" i="8" s="1"/>
  <c r="H30" i="8" s="1"/>
  <c r="H31" i="8" s="1"/>
  <c r="H32" i="8" s="1"/>
  <c r="G21" i="8"/>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9" i="8"/>
  <c r="A10" i="8" s="1"/>
  <c r="A11" i="8" s="1"/>
  <c r="A12" i="8" s="1"/>
  <c r="A8" i="8"/>
  <c r="C54" i="7"/>
  <c r="E53" i="7"/>
  <c r="E52" i="7"/>
  <c r="E51" i="7"/>
  <c r="E50" i="7"/>
  <c r="I31" i="7"/>
  <c r="H31" i="7"/>
  <c r="G31" i="7"/>
  <c r="J30" i="7"/>
  <c r="J29" i="7"/>
  <c r="J28" i="7"/>
  <c r="J27" i="7"/>
  <c r="J26" i="7"/>
  <c r="J25" i="7"/>
  <c r="D25" i="6"/>
  <c r="B23" i="6"/>
  <c r="A10" i="6"/>
  <c r="A13" i="6" s="1"/>
  <c r="A14" i="6" s="1"/>
  <c r="A15" i="6" s="1"/>
  <c r="A16" i="6" s="1"/>
  <c r="A17" i="6" s="1"/>
  <c r="A19" i="6" s="1"/>
  <c r="A20" i="6" s="1"/>
  <c r="P41" i="5"/>
  <c r="P34" i="5"/>
  <c r="J25" i="5"/>
  <c r="M23" i="5"/>
  <c r="L23" i="5"/>
  <c r="K23" i="5"/>
  <c r="J23" i="5"/>
  <c r="E23" i="5"/>
  <c r="B23" i="5"/>
  <c r="Q22" i="5"/>
  <c r="Q21" i="5"/>
  <c r="D20" i="5"/>
  <c r="D23" i="5" s="1"/>
  <c r="P23" i="5"/>
  <c r="O23" i="5"/>
  <c r="N23" i="5"/>
  <c r="I23" i="5"/>
  <c r="H23" i="5"/>
  <c r="G23" i="5"/>
  <c r="Q17" i="5"/>
  <c r="O15" i="5"/>
  <c r="O25" i="5" s="1"/>
  <c r="N15" i="5"/>
  <c r="N25" i="5" s="1"/>
  <c r="M15" i="5"/>
  <c r="M25" i="5" s="1"/>
  <c r="K15" i="5"/>
  <c r="J15" i="5"/>
  <c r="G15" i="5"/>
  <c r="G25" i="5" s="1"/>
  <c r="F15" i="5"/>
  <c r="E15" i="5"/>
  <c r="E25" i="5" s="1"/>
  <c r="Q14" i="5"/>
  <c r="Q13" i="5"/>
  <c r="L15" i="5"/>
  <c r="L25" i="5" s="1"/>
  <c r="I15" i="5"/>
  <c r="I25" i="5" s="1"/>
  <c r="H15" i="5"/>
  <c r="H25" i="5" s="1"/>
  <c r="E160" i="4"/>
  <c r="E162" i="4" s="1"/>
  <c r="E164" i="4" s="1"/>
  <c r="E167" i="4" s="1"/>
  <c r="E117" i="1" s="1"/>
  <c r="J117" i="1" s="1"/>
  <c r="H148" i="4"/>
  <c r="G136" i="4"/>
  <c r="G135" i="4"/>
  <c r="G134" i="4"/>
  <c r="G133" i="4"/>
  <c r="G132" i="4"/>
  <c r="G131" i="4"/>
  <c r="G130" i="4"/>
  <c r="G129" i="4"/>
  <c r="G128" i="4"/>
  <c r="G127" i="4"/>
  <c r="G126" i="4"/>
  <c r="G125" i="4"/>
  <c r="G138" i="4" s="1"/>
  <c r="G124" i="4"/>
  <c r="G112" i="4"/>
  <c r="I107" i="4"/>
  <c r="L100" i="4"/>
  <c r="I89" i="4"/>
  <c r="E68" i="4"/>
  <c r="D68" i="4"/>
  <c r="D67" i="4"/>
  <c r="D66" i="4"/>
  <c r="D65" i="4"/>
  <c r="D64" i="4"/>
  <c r="D63" i="4"/>
  <c r="D62" i="4"/>
  <c r="G51" i="4"/>
  <c r="C51" i="4"/>
  <c r="A49" i="4" s="1"/>
  <c r="H44" i="4"/>
  <c r="G44" i="4"/>
  <c r="F44" i="4"/>
  <c r="F26" i="4"/>
  <c r="C10" i="4"/>
  <c r="G7" i="4"/>
  <c r="G5" i="4"/>
  <c r="F106" i="3"/>
  <c r="E97" i="3"/>
  <c r="E94" i="3"/>
  <c r="E89" i="3"/>
  <c r="E81" i="3"/>
  <c r="F90" i="3"/>
  <c r="E72" i="1" s="1"/>
  <c r="E77" i="3"/>
  <c r="E66" i="3"/>
  <c r="F74" i="3"/>
  <c r="E61" i="3"/>
  <c r="E52" i="3"/>
  <c r="E44" i="3"/>
  <c r="E42" i="3"/>
  <c r="F53" i="3"/>
  <c r="E40" i="3"/>
  <c r="E35" i="3"/>
  <c r="E29" i="3"/>
  <c r="E27" i="3"/>
  <c r="F37" i="3"/>
  <c r="E24" i="3"/>
  <c r="A9" i="3"/>
  <c r="A10" i="3" s="1"/>
  <c r="A11" i="3" s="1"/>
  <c r="A12" i="3" s="1"/>
  <c r="A13" i="3" s="1"/>
  <c r="A14" i="3" s="1"/>
  <c r="A15" i="3" s="1"/>
  <c r="A16" i="3" s="1"/>
  <c r="A17" i="3" s="1"/>
  <c r="A18" i="3" s="1"/>
  <c r="A19" i="3" s="1"/>
  <c r="A20" i="3" s="1"/>
  <c r="A21" i="3" s="1"/>
  <c r="F21" i="3"/>
  <c r="E93" i="3"/>
  <c r="A8" i="3"/>
  <c r="D21" i="3" s="1"/>
  <c r="C46" i="2"/>
  <c r="F33" i="2"/>
  <c r="E33" i="2"/>
  <c r="D33" i="2"/>
  <c r="C32" i="2"/>
  <c r="C31" i="2"/>
  <c r="F29" i="2"/>
  <c r="E29" i="2"/>
  <c r="D29" i="2"/>
  <c r="C28" i="2"/>
  <c r="C29" i="2" s="1"/>
  <c r="C33" i="2" s="1"/>
  <c r="C35" i="2" s="1"/>
  <c r="C27" i="2"/>
  <c r="C25" i="2"/>
  <c r="A13" i="2"/>
  <c r="A15" i="2" s="1"/>
  <c r="D42" i="1" s="1"/>
  <c r="A12" i="2"/>
  <c r="A9" i="2"/>
  <c r="C15" i="2" s="1"/>
  <c r="D6" i="2"/>
  <c r="D15" i="2" s="1"/>
  <c r="E42" i="1" s="1"/>
  <c r="E230" i="1"/>
  <c r="C221" i="1"/>
  <c r="C199" i="1"/>
  <c r="G15" i="6"/>
  <c r="H188" i="1"/>
  <c r="G14" i="6" s="1"/>
  <c r="E188" i="1"/>
  <c r="D14" i="6" s="1"/>
  <c r="C185" i="1"/>
  <c r="E183" i="1"/>
  <c r="J174" i="1"/>
  <c r="C174" i="1"/>
  <c r="J173" i="1"/>
  <c r="C173" i="1"/>
  <c r="E143" i="1"/>
  <c r="C140" i="1"/>
  <c r="E137" i="1"/>
  <c r="D20" i="6" s="1"/>
  <c r="D24" i="6" s="1"/>
  <c r="D28" i="6" s="1"/>
  <c r="D136" i="1"/>
  <c r="G133" i="1"/>
  <c r="J132" i="1"/>
  <c r="E134" i="1"/>
  <c r="H129" i="1"/>
  <c r="J129" i="1" s="1"/>
  <c r="G129" i="1"/>
  <c r="H128" i="1"/>
  <c r="J128" i="1" s="1"/>
  <c r="C126" i="1"/>
  <c r="J123" i="1"/>
  <c r="E123" i="1"/>
  <c r="H122" i="1"/>
  <c r="J122" i="1" s="1"/>
  <c r="E124" i="1"/>
  <c r="C121" i="1"/>
  <c r="H117" i="1"/>
  <c r="H116" i="1"/>
  <c r="E116" i="1"/>
  <c r="J116" i="1" s="1"/>
  <c r="H115" i="1"/>
  <c r="E115" i="1"/>
  <c r="J115" i="1" s="1"/>
  <c r="H114" i="1"/>
  <c r="J114" i="1"/>
  <c r="E94" i="1"/>
  <c r="C94" i="1"/>
  <c r="E93" i="1"/>
  <c r="C93" i="1"/>
  <c r="C91" i="1"/>
  <c r="E89" i="1"/>
  <c r="J86" i="1"/>
  <c r="H197" i="1" s="1"/>
  <c r="E86" i="1"/>
  <c r="H85" i="1"/>
  <c r="H84" i="1" s="1"/>
  <c r="J84" i="1" s="1"/>
  <c r="G85" i="1"/>
  <c r="G84" i="1" s="1"/>
  <c r="E84" i="1"/>
  <c r="J83" i="1"/>
  <c r="H196" i="1" s="1"/>
  <c r="E83" i="1"/>
  <c r="E82" i="1"/>
  <c r="C80" i="1"/>
  <c r="A2" i="4" s="1"/>
  <c r="H72" i="1"/>
  <c r="J72" i="1" s="1"/>
  <c r="G72" i="1"/>
  <c r="G71" i="1"/>
  <c r="G89" i="1" s="1"/>
  <c r="G93" i="1" s="1"/>
  <c r="H67" i="1"/>
  <c r="M57" i="1"/>
  <c r="M101" i="1" s="1"/>
  <c r="M165" i="1" s="1"/>
  <c r="M209" i="1" s="1"/>
  <c r="G42" i="1"/>
  <c r="C42" i="1"/>
  <c r="A42" i="1"/>
  <c r="A43" i="1" s="1"/>
  <c r="D27" i="1"/>
  <c r="D17" i="1"/>
  <c r="D18" i="1" s="1"/>
  <c r="D19" i="1" s="1"/>
  <c r="D16" i="1"/>
  <c r="E71" i="1" l="1"/>
  <c r="E73" i="1" s="1"/>
  <c r="F108" i="3"/>
  <c r="D45" i="1"/>
  <c r="A45" i="1"/>
  <c r="A66" i="1" s="1"/>
  <c r="F51" i="7"/>
  <c r="G51" i="7" s="1"/>
  <c r="F50" i="7"/>
  <c r="G50" i="7" s="1"/>
  <c r="G54" i="7" s="1"/>
  <c r="F55" i="3"/>
  <c r="E66" i="1"/>
  <c r="A23" i="3"/>
  <c r="A24" i="3" s="1"/>
  <c r="J67" i="1"/>
  <c r="J77" i="1" s="1"/>
  <c r="E67" i="1"/>
  <c r="E77" i="1" s="1"/>
  <c r="A21" i="6"/>
  <c r="B24" i="6"/>
  <c r="B22" i="6"/>
  <c r="E141" i="1"/>
  <c r="E146" i="1" s="1"/>
  <c r="E100" i="3"/>
  <c r="E104" i="3"/>
  <c r="E96" i="3"/>
  <c r="E32" i="3"/>
  <c r="E47" i="3"/>
  <c r="E69" i="3"/>
  <c r="E84" i="3"/>
  <c r="E50" i="3"/>
  <c r="E64" i="3"/>
  <c r="E72" i="3"/>
  <c r="E79" i="3"/>
  <c r="E87" i="3"/>
  <c r="E101" i="3"/>
  <c r="H25" i="10"/>
  <c r="H38" i="10" s="1"/>
  <c r="F30" i="9" s="1"/>
  <c r="G38" i="10"/>
  <c r="H41" i="10"/>
  <c r="L41" i="10"/>
  <c r="E30" i="3"/>
  <c r="E45" i="3"/>
  <c r="E67" i="3"/>
  <c r="E82" i="3"/>
  <c r="E95" i="3"/>
  <c r="E98" i="3"/>
  <c r="Q12" i="5"/>
  <c r="E25" i="3"/>
  <c r="E33" i="3"/>
  <c r="E48" i="3"/>
  <c r="E62" i="3"/>
  <c r="E70" i="3"/>
  <c r="E85" i="3"/>
  <c r="E105" i="3"/>
  <c r="D15" i="5"/>
  <c r="D25" i="5" s="1"/>
  <c r="Q11" i="5"/>
  <c r="Q15" i="5" s="1"/>
  <c r="L34" i="10"/>
  <c r="J34" i="10"/>
  <c r="E75" i="11"/>
  <c r="E78" i="11" s="1"/>
  <c r="C65" i="11"/>
  <c r="C75" i="11" s="1"/>
  <c r="C78" i="11" s="1"/>
  <c r="E147" i="1"/>
  <c r="J147" i="1" s="1"/>
  <c r="E28" i="3"/>
  <c r="E36" i="3"/>
  <c r="E43" i="3"/>
  <c r="E51" i="3"/>
  <c r="E65" i="3"/>
  <c r="E73" i="3"/>
  <c r="E80" i="3"/>
  <c r="E88" i="3"/>
  <c r="E99" i="3"/>
  <c r="E102" i="3"/>
  <c r="P15" i="5"/>
  <c r="P25" i="5" s="1"/>
  <c r="K25" i="5"/>
  <c r="A3" i="14"/>
  <c r="A3" i="13" s="1"/>
  <c r="B2" i="12" s="1"/>
  <c r="B2" i="11" s="1"/>
  <c r="A3" i="9"/>
  <c r="A3" i="10" s="1"/>
  <c r="E31" i="3"/>
  <c r="E46" i="3"/>
  <c r="E68" i="3"/>
  <c r="E83" i="3"/>
  <c r="G22" i="8"/>
  <c r="E37" i="9"/>
  <c r="E26" i="3"/>
  <c r="E34" i="3"/>
  <c r="E41" i="3"/>
  <c r="E49" i="3"/>
  <c r="E63" i="3"/>
  <c r="E71" i="3"/>
  <c r="E78" i="3"/>
  <c r="E86" i="3"/>
  <c r="E103" i="3"/>
  <c r="F23" i="5"/>
  <c r="F25" i="5" s="1"/>
  <c r="Q19" i="5"/>
  <c r="J12" i="10"/>
  <c r="H12" i="10"/>
  <c r="L12" i="10"/>
  <c r="H11" i="10"/>
  <c r="H14" i="10"/>
  <c r="F17" i="14"/>
  <c r="H17" i="10"/>
  <c r="L30" i="10"/>
  <c r="J30" i="10"/>
  <c r="F22" i="13"/>
  <c r="I9" i="14"/>
  <c r="E9" i="11"/>
  <c r="L14" i="10"/>
  <c r="L26" i="10"/>
  <c r="J26" i="10"/>
  <c r="H34" i="13"/>
  <c r="G11" i="11"/>
  <c r="K41" i="10"/>
  <c r="K54" i="10" s="1"/>
  <c r="Q9" i="14"/>
  <c r="F9" i="11"/>
  <c r="F12" i="11" s="1"/>
  <c r="G22" i="13"/>
  <c r="I9" i="10"/>
  <c r="E51" i="12"/>
  <c r="E54" i="12" s="1"/>
  <c r="E52" i="12"/>
  <c r="C52" i="12" s="1"/>
  <c r="C43" i="12"/>
  <c r="C51" i="12" s="1"/>
  <c r="C54" i="12" s="1"/>
  <c r="G23" i="13"/>
  <c r="F9" i="12"/>
  <c r="L13" i="10"/>
  <c r="H13" i="10"/>
  <c r="F38" i="14"/>
  <c r="E30" i="13" s="1"/>
  <c r="G26" i="14"/>
  <c r="L43" i="10"/>
  <c r="J43" i="10"/>
  <c r="H43" i="10"/>
  <c r="I41" i="10"/>
  <c r="F11" i="11"/>
  <c r="G34" i="13"/>
  <c r="G34" i="9"/>
  <c r="Z9" i="14"/>
  <c r="G9" i="11"/>
  <c r="G12" i="11" s="1"/>
  <c r="H22" i="13"/>
  <c r="G28" i="13"/>
  <c r="I25" i="10"/>
  <c r="F10" i="11"/>
  <c r="V19" i="14"/>
  <c r="U19" i="14"/>
  <c r="Q20" i="5"/>
  <c r="F22" i="14"/>
  <c r="E24" i="13" s="1"/>
  <c r="G10" i="14"/>
  <c r="H16" i="10"/>
  <c r="L21" i="10"/>
  <c r="J21" i="10"/>
  <c r="H21" i="10"/>
  <c r="H28" i="13"/>
  <c r="K25" i="10"/>
  <c r="G10" i="11"/>
  <c r="AE11" i="14"/>
  <c r="AD11" i="14"/>
  <c r="H10" i="10"/>
  <c r="H22" i="10" s="1"/>
  <c r="F24" i="9" s="1"/>
  <c r="E9" i="9" s="1"/>
  <c r="D12" i="10"/>
  <c r="J13" i="10"/>
  <c r="L47" i="10"/>
  <c r="J47" i="10"/>
  <c r="H47" i="10"/>
  <c r="I36" i="14"/>
  <c r="J36" i="14" s="1"/>
  <c r="K36" i="14" s="1"/>
  <c r="I34" i="14"/>
  <c r="J34" i="14" s="1"/>
  <c r="K34" i="14" s="1"/>
  <c r="I37" i="14"/>
  <c r="J37" i="14" s="1"/>
  <c r="K37" i="14" s="1"/>
  <c r="I35" i="14"/>
  <c r="J35" i="14" s="1"/>
  <c r="K35" i="14" s="1"/>
  <c r="I31" i="14"/>
  <c r="J31" i="14" s="1"/>
  <c r="K31" i="14" s="1"/>
  <c r="I30" i="14"/>
  <c r="J30" i="14" s="1"/>
  <c r="K30" i="14" s="1"/>
  <c r="I27" i="14"/>
  <c r="J27" i="14" s="1"/>
  <c r="K27" i="14" s="1"/>
  <c r="I29" i="14"/>
  <c r="J29" i="14" s="1"/>
  <c r="K29" i="14" s="1"/>
  <c r="I33" i="14"/>
  <c r="J33" i="14" s="1"/>
  <c r="K33" i="14" s="1"/>
  <c r="I28" i="14"/>
  <c r="J28" i="14" s="1"/>
  <c r="K28" i="14" s="1"/>
  <c r="I32" i="14"/>
  <c r="J32" i="14" s="1"/>
  <c r="K32" i="14" s="1"/>
  <c r="J26" i="14"/>
  <c r="V15" i="14"/>
  <c r="U15" i="14"/>
  <c r="L51" i="10"/>
  <c r="J51" i="10"/>
  <c r="H51" i="10"/>
  <c r="G35" i="9"/>
  <c r="G35" i="13"/>
  <c r="F11" i="12"/>
  <c r="H23" i="13"/>
  <c r="G9" i="12"/>
  <c r="AE13" i="14"/>
  <c r="AD13" i="14"/>
  <c r="V21" i="14"/>
  <c r="U21" i="14"/>
  <c r="L18" i="10"/>
  <c r="J20" i="10"/>
  <c r="H20" i="10"/>
  <c r="G22" i="10"/>
  <c r="F34" i="13"/>
  <c r="E11" i="11"/>
  <c r="H35" i="13"/>
  <c r="G11" i="12"/>
  <c r="AE15" i="14"/>
  <c r="AD15" i="14"/>
  <c r="AD31" i="14"/>
  <c r="AE31" i="14"/>
  <c r="L11" i="10"/>
  <c r="L22" i="10" s="1"/>
  <c r="H24" i="9" s="1"/>
  <c r="L19" i="10"/>
  <c r="C74" i="12"/>
  <c r="C75" i="12" s="1"/>
  <c r="C78" i="12" s="1"/>
  <c r="AD14" i="14"/>
  <c r="AE14" i="14"/>
  <c r="U20" i="14"/>
  <c r="V20" i="14"/>
  <c r="AB38" i="14"/>
  <c r="AC26" i="14"/>
  <c r="X54" i="14"/>
  <c r="AD16" i="14"/>
  <c r="AE16" i="14"/>
  <c r="O38" i="14"/>
  <c r="U30" i="14"/>
  <c r="V30" i="14"/>
  <c r="V35" i="14"/>
  <c r="U35" i="14"/>
  <c r="Y37" i="14"/>
  <c r="Z42" i="14"/>
  <c r="Z43" i="14" s="1"/>
  <c r="M48" i="14"/>
  <c r="L48" i="14"/>
  <c r="M49" i="14"/>
  <c r="L49" i="14"/>
  <c r="M50" i="14"/>
  <c r="L50" i="14"/>
  <c r="D43" i="14"/>
  <c r="D12" i="14"/>
  <c r="AD18" i="14"/>
  <c r="AE18" i="14"/>
  <c r="Y27" i="14"/>
  <c r="P27" i="14"/>
  <c r="Q27" i="14" s="1"/>
  <c r="Q28" i="14" s="1"/>
  <c r="G27" i="14"/>
  <c r="AE28" i="14"/>
  <c r="AD28" i="14"/>
  <c r="U29" i="14"/>
  <c r="V29" i="14"/>
  <c r="U31" i="14"/>
  <c r="V31" i="14"/>
  <c r="AE35" i="14"/>
  <c r="AD35" i="14"/>
  <c r="V37" i="14"/>
  <c r="U37" i="14"/>
  <c r="V49" i="14"/>
  <c r="U49" i="14"/>
  <c r="J10" i="14"/>
  <c r="I20" i="14"/>
  <c r="J20" i="14" s="1"/>
  <c r="K20" i="14" s="1"/>
  <c r="I18" i="14"/>
  <c r="J18" i="14" s="1"/>
  <c r="K18" i="14" s="1"/>
  <c r="I16" i="14"/>
  <c r="J16" i="14" s="1"/>
  <c r="K16" i="14" s="1"/>
  <c r="I14" i="14"/>
  <c r="J14" i="14" s="1"/>
  <c r="K14" i="14" s="1"/>
  <c r="I12" i="14"/>
  <c r="J12" i="14" s="1"/>
  <c r="K12" i="14" s="1"/>
  <c r="I21" i="14"/>
  <c r="J21" i="14" s="1"/>
  <c r="K21" i="14" s="1"/>
  <c r="I19" i="14"/>
  <c r="J19" i="14" s="1"/>
  <c r="K19" i="14" s="1"/>
  <c r="I17" i="14"/>
  <c r="J17" i="14" s="1"/>
  <c r="K17" i="14" s="1"/>
  <c r="I15" i="14"/>
  <c r="J15" i="14" s="1"/>
  <c r="K15" i="14" s="1"/>
  <c r="I13" i="14"/>
  <c r="J13" i="14" s="1"/>
  <c r="K13" i="14" s="1"/>
  <c r="I11" i="14"/>
  <c r="J11" i="14" s="1"/>
  <c r="K11" i="14" s="1"/>
  <c r="O22" i="14"/>
  <c r="S10" i="14"/>
  <c r="U13" i="14"/>
  <c r="Y18" i="14"/>
  <c r="AD20" i="14"/>
  <c r="AE20" i="14"/>
  <c r="AD21" i="14"/>
  <c r="Q26" i="14"/>
  <c r="AC27" i="14"/>
  <c r="U32" i="14"/>
  <c r="V32" i="14"/>
  <c r="V34" i="14"/>
  <c r="U34" i="14"/>
  <c r="M42" i="14"/>
  <c r="L42" i="14"/>
  <c r="M47" i="14"/>
  <c r="L47" i="14"/>
  <c r="Q10" i="14"/>
  <c r="U12" i="14"/>
  <c r="V12" i="14"/>
  <c r="V26" i="14"/>
  <c r="U26" i="14"/>
  <c r="W26" i="14" s="1"/>
  <c r="AE34" i="14"/>
  <c r="AD34" i="14"/>
  <c r="AE37" i="14"/>
  <c r="AD37" i="14"/>
  <c r="AE45" i="14"/>
  <c r="AD45" i="14"/>
  <c r="AE49" i="14"/>
  <c r="AD49" i="14"/>
  <c r="AE53" i="14"/>
  <c r="AD53" i="14"/>
  <c r="H42" i="10"/>
  <c r="H46" i="10"/>
  <c r="H50" i="10"/>
  <c r="H25" i="14"/>
  <c r="I25" i="14"/>
  <c r="G10" i="12"/>
  <c r="E29" i="12"/>
  <c r="E32" i="12" s="1"/>
  <c r="E75" i="12"/>
  <c r="E78" i="12" s="1"/>
  <c r="P12" i="14"/>
  <c r="U14" i="14"/>
  <c r="V14" i="14"/>
  <c r="U17" i="14"/>
  <c r="AE29" i="14"/>
  <c r="AE30" i="14"/>
  <c r="AD32" i="14"/>
  <c r="AE32" i="14"/>
  <c r="J29" i="10"/>
  <c r="J33" i="10"/>
  <c r="J37" i="10"/>
  <c r="J42" i="10"/>
  <c r="J46" i="10"/>
  <c r="J50" i="10"/>
  <c r="X22" i="14"/>
  <c r="AB10" i="14"/>
  <c r="P14" i="14"/>
  <c r="U16" i="14"/>
  <c r="V16" i="14"/>
  <c r="V28" i="14"/>
  <c r="U28" i="14"/>
  <c r="V33" i="14"/>
  <c r="V36" i="14"/>
  <c r="U36" i="14"/>
  <c r="S38" i="14"/>
  <c r="AE47" i="14"/>
  <c r="AD47" i="14"/>
  <c r="AE48" i="14"/>
  <c r="AD48" i="14"/>
  <c r="Y10" i="14"/>
  <c r="AD12" i="14"/>
  <c r="AE12" i="14"/>
  <c r="P16" i="14"/>
  <c r="U18" i="14"/>
  <c r="V18" i="14"/>
  <c r="Z26" i="14"/>
  <c r="T27" i="14"/>
  <c r="Y30" i="14"/>
  <c r="P30" i="14"/>
  <c r="G30" i="14"/>
  <c r="AE33" i="14"/>
  <c r="AD33" i="14"/>
  <c r="AE36" i="14"/>
  <c r="AD36" i="14"/>
  <c r="T38" i="14"/>
  <c r="V46" i="14"/>
  <c r="U46" i="14"/>
  <c r="X38" i="14"/>
  <c r="Y29" i="14"/>
  <c r="P29" i="14"/>
  <c r="P38" i="14" s="1"/>
  <c r="Y33" i="14"/>
  <c r="P33" i="14"/>
  <c r="F54" i="14"/>
  <c r="E36" i="13" s="1"/>
  <c r="E37" i="13" s="1"/>
  <c r="V43" i="14"/>
  <c r="AC44" i="14"/>
  <c r="S45" i="14"/>
  <c r="G46" i="14"/>
  <c r="AC52" i="14"/>
  <c r="S53" i="14"/>
  <c r="T53" i="14" s="1"/>
  <c r="O54" i="14"/>
  <c r="N42" i="14"/>
  <c r="N43" i="14" s="1"/>
  <c r="H42" i="14"/>
  <c r="H43" i="14" s="1"/>
  <c r="U42" i="14"/>
  <c r="M44" i="14"/>
  <c r="L46" i="14"/>
  <c r="U50" i="14"/>
  <c r="M52" i="14"/>
  <c r="P18" i="19"/>
  <c r="E144" i="4" s="1"/>
  <c r="E113" i="1" s="1"/>
  <c r="Y35" i="14"/>
  <c r="AB54" i="14"/>
  <c r="Y49" i="14"/>
  <c r="P49" i="14"/>
  <c r="G49" i="14"/>
  <c r="Y33" i="16"/>
  <c r="Y31" i="14"/>
  <c r="P31" i="14"/>
  <c r="V44" i="14"/>
  <c r="J45" i="14"/>
  <c r="K45" i="14" s="1"/>
  <c r="K54" i="14" s="1"/>
  <c r="V52" i="14"/>
  <c r="J53" i="14"/>
  <c r="K53" i="14" s="1"/>
  <c r="AD8" i="19"/>
  <c r="AJ8" i="19" s="1"/>
  <c r="AJ18" i="19" s="1"/>
  <c r="E146" i="4" s="1"/>
  <c r="E85" i="1" s="1"/>
  <c r="J85" i="1" s="1"/>
  <c r="H198" i="1" s="1"/>
  <c r="G17" i="14"/>
  <c r="G19" i="14"/>
  <c r="G21" i="14"/>
  <c r="G31" i="14"/>
  <c r="Y32" i="14"/>
  <c r="P32" i="14"/>
  <c r="Q42" i="14"/>
  <c r="Q43" i="14" s="1"/>
  <c r="AD42" i="14"/>
  <c r="AF42" i="14" s="1"/>
  <c r="AF43" i="14" s="1"/>
  <c r="Y44" i="14"/>
  <c r="P44" i="14"/>
  <c r="Q44" i="14" s="1"/>
  <c r="Q45" i="14" s="1"/>
  <c r="Q46" i="14" s="1"/>
  <c r="G44" i="14"/>
  <c r="G54" i="14" s="1"/>
  <c r="Y46" i="14"/>
  <c r="V48" i="14"/>
  <c r="U48" i="14"/>
  <c r="Y52" i="14"/>
  <c r="P52" i="14"/>
  <c r="G52" i="14"/>
  <c r="W33" i="15"/>
  <c r="P11" i="14"/>
  <c r="Q11" i="14" s="1"/>
  <c r="P13" i="14"/>
  <c r="P15" i="14"/>
  <c r="P17" i="14"/>
  <c r="P19" i="14"/>
  <c r="P21" i="14"/>
  <c r="AD46" i="14"/>
  <c r="Y48" i="14"/>
  <c r="P48" i="14"/>
  <c r="G48" i="14"/>
  <c r="J54" i="14"/>
  <c r="P35" i="14"/>
  <c r="P37" i="14"/>
  <c r="P34" i="14"/>
  <c r="P36" i="14"/>
  <c r="G47" i="14"/>
  <c r="P47" i="14"/>
  <c r="G9" i="9" l="1"/>
  <c r="H25" i="9"/>
  <c r="M17" i="14"/>
  <c r="L17" i="14"/>
  <c r="K10" i="14"/>
  <c r="J22" i="14"/>
  <c r="Z27" i="14"/>
  <c r="Z28" i="14" s="1"/>
  <c r="E29" i="13"/>
  <c r="E31" i="13" s="1"/>
  <c r="E29" i="9"/>
  <c r="E31" i="9" s="1"/>
  <c r="L29" i="14"/>
  <c r="M29" i="14"/>
  <c r="E23" i="13"/>
  <c r="E25" i="13" s="1"/>
  <c r="E23" i="9"/>
  <c r="E25" i="9" s="1"/>
  <c r="N9" i="14"/>
  <c r="I22" i="14"/>
  <c r="E28" i="13"/>
  <c r="E28" i="9"/>
  <c r="V38" i="14"/>
  <c r="M19" i="14"/>
  <c r="L19" i="14"/>
  <c r="M27" i="14"/>
  <c r="L27" i="14"/>
  <c r="G38" i="14"/>
  <c r="H26" i="14"/>
  <c r="E10" i="11"/>
  <c r="F28" i="13"/>
  <c r="F28" i="9"/>
  <c r="B27" i="6"/>
  <c r="A22" i="6"/>
  <c r="A23" i="6" s="1"/>
  <c r="A24" i="6" s="1"/>
  <c r="L54" i="10"/>
  <c r="H36" i="9" s="1"/>
  <c r="H37" i="9" s="1"/>
  <c r="C172" i="1"/>
  <c r="C68" i="1"/>
  <c r="A67" i="1"/>
  <c r="V27" i="14"/>
  <c r="U27" i="14"/>
  <c r="W27" i="14" s="1"/>
  <c r="W28" i="14" s="1"/>
  <c r="W29" i="14" s="1"/>
  <c r="W30" i="14" s="1"/>
  <c r="W31" i="14" s="1"/>
  <c r="W32" i="14" s="1"/>
  <c r="W33" i="14" s="1"/>
  <c r="W34" i="14" s="1"/>
  <c r="W35" i="14" s="1"/>
  <c r="W36" i="14" s="1"/>
  <c r="W37" i="14" s="1"/>
  <c r="G30" i="13" s="1"/>
  <c r="G31" i="13" s="1"/>
  <c r="F10" i="13" s="1"/>
  <c r="I38" i="14"/>
  <c r="N25" i="14"/>
  <c r="L30" i="14"/>
  <c r="M30" i="14"/>
  <c r="E9" i="12"/>
  <c r="F23" i="13"/>
  <c r="F23" i="9"/>
  <c r="F25" i="9" s="1"/>
  <c r="AE27" i="14"/>
  <c r="AD27" i="14"/>
  <c r="T10" i="14"/>
  <c r="S22" i="14"/>
  <c r="L12" i="14"/>
  <c r="M12" i="14"/>
  <c r="L31" i="14"/>
  <c r="M31" i="14"/>
  <c r="J9" i="10"/>
  <c r="J22" i="10" s="1"/>
  <c r="G24" i="9" s="1"/>
  <c r="I22" i="10"/>
  <c r="G23" i="8"/>
  <c r="H54" i="10"/>
  <c r="F36" i="9" s="1"/>
  <c r="Q52" i="14"/>
  <c r="Q53" i="14" s="1"/>
  <c r="Q47" i="14"/>
  <c r="Q29" i="14"/>
  <c r="M21" i="14"/>
  <c r="L21" i="14"/>
  <c r="Q48" i="14"/>
  <c r="AD44" i="14"/>
  <c r="AD54" i="14" s="1"/>
  <c r="AE44" i="14"/>
  <c r="AE54" i="14" s="1"/>
  <c r="Z29" i="14"/>
  <c r="AC10" i="14"/>
  <c r="AB22" i="14"/>
  <c r="Q12" i="14"/>
  <c r="Q13" i="14"/>
  <c r="Q14" i="14" s="1"/>
  <c r="Q15" i="14" s="1"/>
  <c r="Q16" i="14" s="1"/>
  <c r="Q17" i="14" s="1"/>
  <c r="Q18" i="14" s="1"/>
  <c r="Q19" i="14" s="1"/>
  <c r="Q20" i="14" s="1"/>
  <c r="Q21" i="14" s="1"/>
  <c r="P54" i="14"/>
  <c r="J113" i="1"/>
  <c r="L14" i="14"/>
  <c r="M14" i="14"/>
  <c r="G12" i="12"/>
  <c r="J38" i="14"/>
  <c r="K26" i="14"/>
  <c r="M35" i="14"/>
  <c r="L35" i="14"/>
  <c r="G22" i="14"/>
  <c r="H10" i="14"/>
  <c r="H11" i="14" s="1"/>
  <c r="H12" i="14" s="1"/>
  <c r="H13" i="14" s="1"/>
  <c r="H14" i="14" s="1"/>
  <c r="H15" i="14" s="1"/>
  <c r="H16" i="14" s="1"/>
  <c r="H17" i="14" s="1"/>
  <c r="H18" i="14" s="1"/>
  <c r="H19" i="14" s="1"/>
  <c r="H20" i="14" s="1"/>
  <c r="H21" i="14" s="1"/>
  <c r="P36" i="5"/>
  <c r="H187" i="1" s="1"/>
  <c r="E187" i="1"/>
  <c r="U38" i="14"/>
  <c r="L32" i="14"/>
  <c r="M32" i="14"/>
  <c r="K38" i="10"/>
  <c r="L25" i="10"/>
  <c r="L38" i="10" s="1"/>
  <c r="H30" i="9" s="1"/>
  <c r="H31" i="9" s="1"/>
  <c r="G10" i="9" s="1"/>
  <c r="J25" i="10"/>
  <c r="J38" i="10" s="1"/>
  <c r="G30" i="9" s="1"/>
  <c r="G31" i="9" s="1"/>
  <c r="F10" i="9" s="1"/>
  <c r="I38" i="10"/>
  <c r="J41" i="10"/>
  <c r="J54" i="10" s="1"/>
  <c r="G36" i="9" s="1"/>
  <c r="G37" i="9" s="1"/>
  <c r="I54" i="10"/>
  <c r="A25" i="3"/>
  <c r="A26" i="3" s="1"/>
  <c r="A27" i="3" s="1"/>
  <c r="A28" i="3" s="1"/>
  <c r="A29" i="3" s="1"/>
  <c r="A30" i="3" s="1"/>
  <c r="A31" i="3" s="1"/>
  <c r="A32" i="3" s="1"/>
  <c r="A33" i="3" s="1"/>
  <c r="A34" i="3" s="1"/>
  <c r="A35" i="3" s="1"/>
  <c r="A36" i="3" s="1"/>
  <c r="A37" i="3" s="1"/>
  <c r="D37" i="3"/>
  <c r="AD52" i="14"/>
  <c r="AE52" i="14"/>
  <c r="Y22" i="14"/>
  <c r="Z10" i="14"/>
  <c r="Z11" i="14" s="1"/>
  <c r="Z12" i="14" s="1"/>
  <c r="Z13" i="14" s="1"/>
  <c r="Z14" i="14" s="1"/>
  <c r="Z15" i="14" s="1"/>
  <c r="Z16" i="14" s="1"/>
  <c r="Z17" i="14" s="1"/>
  <c r="Z18" i="14" s="1"/>
  <c r="Z19" i="14" s="1"/>
  <c r="Z20" i="14" s="1"/>
  <c r="Z21" i="14" s="1"/>
  <c r="Z44" i="14"/>
  <c r="Z45" i="14" s="1"/>
  <c r="T45" i="14"/>
  <c r="S54" i="14"/>
  <c r="W42" i="14"/>
  <c r="W43" i="14" s="1"/>
  <c r="W44" i="14" s="1"/>
  <c r="M53" i="14"/>
  <c r="L53" i="14"/>
  <c r="N44" i="14"/>
  <c r="Y38" i="14"/>
  <c r="E10" i="12"/>
  <c r="F29" i="13"/>
  <c r="F29" i="9"/>
  <c r="F31" i="9" s="1"/>
  <c r="E10" i="9" s="1"/>
  <c r="E12" i="9" s="1"/>
  <c r="E16" i="9" s="1"/>
  <c r="M11" i="14"/>
  <c r="L11" i="14"/>
  <c r="L16" i="14"/>
  <c r="M16" i="14"/>
  <c r="M37" i="14"/>
  <c r="L37" i="14"/>
  <c r="Z46" i="14"/>
  <c r="Z47" i="14" s="1"/>
  <c r="Z48" i="14" s="1"/>
  <c r="Z49" i="14" s="1"/>
  <c r="Z50" i="14" s="1"/>
  <c r="Z51" i="14" s="1"/>
  <c r="Z52" i="14" s="1"/>
  <c r="Z53" i="14" s="1"/>
  <c r="Q30" i="14"/>
  <c r="Q31" i="14" s="1"/>
  <c r="Q32" i="14" s="1"/>
  <c r="Q33" i="14" s="1"/>
  <c r="Q34" i="14" s="1"/>
  <c r="Q35" i="14" s="1"/>
  <c r="Q36" i="14" s="1"/>
  <c r="Q37" i="14" s="1"/>
  <c r="E11" i="12"/>
  <c r="F35" i="13"/>
  <c r="F35" i="9"/>
  <c r="M13" i="14"/>
  <c r="L13" i="14"/>
  <c r="L18" i="14"/>
  <c r="M18" i="14"/>
  <c r="H27" i="14"/>
  <c r="H28" i="14" s="1"/>
  <c r="H29" i="14" s="1"/>
  <c r="H30" i="14" s="1"/>
  <c r="H31" i="14" s="1"/>
  <c r="H32" i="14" s="1"/>
  <c r="H33" i="14" s="1"/>
  <c r="H34" i="14" s="1"/>
  <c r="H35" i="14" s="1"/>
  <c r="H36" i="14" s="1"/>
  <c r="H37" i="14" s="1"/>
  <c r="D44" i="14"/>
  <c r="D28" i="14"/>
  <c r="D13" i="14"/>
  <c r="M28" i="14"/>
  <c r="L28" i="14"/>
  <c r="M34" i="14"/>
  <c r="L34" i="14"/>
  <c r="F12" i="12"/>
  <c r="J172" i="1"/>
  <c r="J175" i="1" s="1"/>
  <c r="J177" i="1" s="1"/>
  <c r="E68" i="1"/>
  <c r="E76" i="1"/>
  <c r="E78" i="1" s="1"/>
  <c r="AC54" i="14"/>
  <c r="H44" i="14"/>
  <c r="H45" i="14" s="1"/>
  <c r="H46" i="14" s="1"/>
  <c r="H47" i="14" s="1"/>
  <c r="H48" i="14" s="1"/>
  <c r="H49" i="14" s="1"/>
  <c r="H50" i="14" s="1"/>
  <c r="H51" i="14" s="1"/>
  <c r="H52" i="14" s="1"/>
  <c r="H53" i="14" s="1"/>
  <c r="M45" i="14"/>
  <c r="M54" i="14" s="1"/>
  <c r="L45" i="14"/>
  <c r="L54" i="14" s="1"/>
  <c r="Q49" i="14"/>
  <c r="Q50" i="14" s="1"/>
  <c r="Q51" i="14" s="1"/>
  <c r="V53" i="14"/>
  <c r="U53" i="14"/>
  <c r="Z30" i="14"/>
  <c r="Z31" i="14" s="1"/>
  <c r="Z32" i="14" s="1"/>
  <c r="Z33" i="14" s="1"/>
  <c r="Z34" i="14" s="1"/>
  <c r="Z35" i="14" s="1"/>
  <c r="Z36" i="14" s="1"/>
  <c r="Z37" i="14" s="1"/>
  <c r="P22" i="14"/>
  <c r="M15" i="14"/>
  <c r="L15" i="14"/>
  <c r="L20" i="14"/>
  <c r="M20" i="14"/>
  <c r="Y54" i="14"/>
  <c r="AC38" i="14"/>
  <c r="AE26" i="14"/>
  <c r="AE38" i="14" s="1"/>
  <c r="AD26" i="14"/>
  <c r="L33" i="14"/>
  <c r="M33" i="14"/>
  <c r="M36" i="14"/>
  <c r="L36" i="14"/>
  <c r="D28" i="10"/>
  <c r="D44" i="10" s="1"/>
  <c r="D13" i="10"/>
  <c r="E12" i="11"/>
  <c r="Q23" i="5"/>
  <c r="E189" i="1" s="1"/>
  <c r="K38" i="14" l="1"/>
  <c r="M26" i="14"/>
  <c r="M38" i="14" s="1"/>
  <c r="L26" i="14"/>
  <c r="L38" i="14" s="1"/>
  <c r="D14" i="10"/>
  <c r="D29" i="10"/>
  <c r="D45" i="10" s="1"/>
  <c r="Q25" i="5"/>
  <c r="G24" i="8"/>
  <c r="A68" i="1"/>
  <c r="A70" i="1" s="1"/>
  <c r="A71" i="1" s="1"/>
  <c r="N45" i="14"/>
  <c r="N46" i="14" s="1"/>
  <c r="N47" i="14" s="1"/>
  <c r="N48" i="14" s="1"/>
  <c r="N49" i="14" s="1"/>
  <c r="N50" i="14" s="1"/>
  <c r="N51" i="14" s="1"/>
  <c r="N52" i="14" s="1"/>
  <c r="N53" i="14" s="1"/>
  <c r="F36" i="13" s="1"/>
  <c r="G13" i="6"/>
  <c r="U10" i="14"/>
  <c r="U22" i="14" s="1"/>
  <c r="V10" i="14"/>
  <c r="V22" i="14" s="1"/>
  <c r="T22" i="14"/>
  <c r="D15" i="6"/>
  <c r="AD38" i="14"/>
  <c r="AF26" i="14"/>
  <c r="AF27" i="14" s="1"/>
  <c r="AF28" i="14" s="1"/>
  <c r="AF29" i="14" s="1"/>
  <c r="AF30" i="14" s="1"/>
  <c r="AF31" i="14" s="1"/>
  <c r="AF32" i="14" s="1"/>
  <c r="AF33" i="14" s="1"/>
  <c r="AF34" i="14" s="1"/>
  <c r="AF35" i="14" s="1"/>
  <c r="AF36" i="14" s="1"/>
  <c r="AF37" i="14" s="1"/>
  <c r="H30" i="13" s="1"/>
  <c r="H31" i="13" s="1"/>
  <c r="G10" i="13" s="1"/>
  <c r="N26" i="14"/>
  <c r="N27" i="14" s="1"/>
  <c r="N28" i="14" s="1"/>
  <c r="N29" i="14" s="1"/>
  <c r="N30" i="14" s="1"/>
  <c r="N31" i="14" s="1"/>
  <c r="N32" i="14" s="1"/>
  <c r="N33" i="14" s="1"/>
  <c r="N34" i="14" s="1"/>
  <c r="N35" i="14" s="1"/>
  <c r="N36" i="14" s="1"/>
  <c r="N37" i="14" s="1"/>
  <c r="F30" i="13" s="1"/>
  <c r="F31" i="13" s="1"/>
  <c r="E10" i="13" s="1"/>
  <c r="N10" i="14"/>
  <c r="N11" i="14" s="1"/>
  <c r="N12" i="14" s="1"/>
  <c r="N13" i="14" s="1"/>
  <c r="N14" i="14" s="1"/>
  <c r="N15" i="14" s="1"/>
  <c r="N16" i="14" s="1"/>
  <c r="N17" i="14" s="1"/>
  <c r="N18" i="14" s="1"/>
  <c r="N19" i="14" s="1"/>
  <c r="N20" i="14" s="1"/>
  <c r="N21" i="14" s="1"/>
  <c r="F24" i="13" s="1"/>
  <c r="F25" i="13" s="1"/>
  <c r="E9" i="13" s="1"/>
  <c r="E12" i="13" s="1"/>
  <c r="E16" i="13" s="1"/>
  <c r="G12" i="9"/>
  <c r="G16" i="9" s="1"/>
  <c r="F181" i="1"/>
  <c r="H181" i="1" s="1"/>
  <c r="H183" i="1" s="1"/>
  <c r="H121" i="1"/>
  <c r="J121" i="1" s="1"/>
  <c r="H89" i="1"/>
  <c r="H66" i="1"/>
  <c r="H110" i="1"/>
  <c r="H71" i="1"/>
  <c r="J71" i="1" s="1"/>
  <c r="J73" i="1" s="1"/>
  <c r="A39" i="3"/>
  <c r="A40" i="3" s="1"/>
  <c r="F9" i="9"/>
  <c r="F12" i="9" s="1"/>
  <c r="G25" i="9"/>
  <c r="A25" i="6"/>
  <c r="A26" i="6" s="1"/>
  <c r="A27" i="6" s="1"/>
  <c r="AF44" i="14"/>
  <c r="AF45" i="14" s="1"/>
  <c r="AF46" i="14" s="1"/>
  <c r="AF47" i="14" s="1"/>
  <c r="AF48" i="14" s="1"/>
  <c r="AF49" i="14" s="1"/>
  <c r="AF50" i="14" s="1"/>
  <c r="AF51" i="14" s="1"/>
  <c r="AF52" i="14" s="1"/>
  <c r="AF53" i="14" s="1"/>
  <c r="H36" i="13" s="1"/>
  <c r="H37" i="13" s="1"/>
  <c r="G11" i="13" s="1"/>
  <c r="F37" i="13"/>
  <c r="E11" i="13" s="1"/>
  <c r="E12" i="12"/>
  <c r="V45" i="14"/>
  <c r="V54" i="14" s="1"/>
  <c r="U45" i="14"/>
  <c r="U54" i="14" s="1"/>
  <c r="T54" i="14"/>
  <c r="D13" i="6"/>
  <c r="D16" i="6" s="1"/>
  <c r="E190" i="1"/>
  <c r="F188" i="1" s="1"/>
  <c r="D45" i="14"/>
  <c r="D29" i="14"/>
  <c r="D14" i="14"/>
  <c r="F37" i="9"/>
  <c r="W45" i="14"/>
  <c r="W46" i="14" s="1"/>
  <c r="W47" i="14" s="1"/>
  <c r="W48" i="14" s="1"/>
  <c r="W49" i="14" s="1"/>
  <c r="W50" i="14" s="1"/>
  <c r="W51" i="14" s="1"/>
  <c r="W52" i="14" s="1"/>
  <c r="W53" i="14" s="1"/>
  <c r="G36" i="13" s="1"/>
  <c r="G37" i="13" s="1"/>
  <c r="F11" i="13" s="1"/>
  <c r="J112" i="1"/>
  <c r="E118" i="1"/>
  <c r="AD10" i="14"/>
  <c r="AE10" i="14"/>
  <c r="AE22" i="14" s="1"/>
  <c r="AC22" i="14"/>
  <c r="L10" i="14"/>
  <c r="L22" i="14" s="1"/>
  <c r="M10" i="14"/>
  <c r="M22" i="14" s="1"/>
  <c r="K22" i="14"/>
  <c r="E81" i="1" l="1"/>
  <c r="E87" i="1" s="1"/>
  <c r="G25" i="8"/>
  <c r="E92" i="1"/>
  <c r="E95" i="1" s="1"/>
  <c r="J110" i="1"/>
  <c r="H111" i="1"/>
  <c r="J111" i="1" s="1"/>
  <c r="AD22" i="14"/>
  <c r="AF10" i="14"/>
  <c r="AF11" i="14" s="1"/>
  <c r="AF12" i="14" s="1"/>
  <c r="AF13" i="14" s="1"/>
  <c r="AF14" i="14" s="1"/>
  <c r="AF15" i="14" s="1"/>
  <c r="AF16" i="14" s="1"/>
  <c r="AF17" i="14" s="1"/>
  <c r="AF18" i="14" s="1"/>
  <c r="AF19" i="14" s="1"/>
  <c r="AF20" i="14" s="1"/>
  <c r="AF21" i="14" s="1"/>
  <c r="H24" i="13" s="1"/>
  <c r="H25" i="13" s="1"/>
  <c r="G9" i="13" s="1"/>
  <c r="G12" i="13" s="1"/>
  <c r="G16" i="13" s="1"/>
  <c r="D30" i="10"/>
  <c r="D46" i="10" s="1"/>
  <c r="D15" i="10"/>
  <c r="A41" i="3"/>
  <c r="A42" i="3" s="1"/>
  <c r="A43" i="3" s="1"/>
  <c r="A44" i="3" s="1"/>
  <c r="A45" i="3" s="1"/>
  <c r="A46" i="3" s="1"/>
  <c r="A47" i="3" s="1"/>
  <c r="A48" i="3" s="1"/>
  <c r="A49" i="3" s="1"/>
  <c r="A50" i="3" s="1"/>
  <c r="A51" i="3" s="1"/>
  <c r="A52" i="3" s="1"/>
  <c r="A53" i="3" s="1"/>
  <c r="A28" i="6"/>
  <c r="A29" i="6" s="1"/>
  <c r="A32" i="6" s="1"/>
  <c r="A34" i="6" s="1"/>
  <c r="A35" i="6" s="1"/>
  <c r="A36" i="6" s="1"/>
  <c r="A37" i="6" s="1"/>
  <c r="A38" i="6" s="1"/>
  <c r="A39" i="6" s="1"/>
  <c r="C29" i="6"/>
  <c r="J66" i="1"/>
  <c r="H42" i="1"/>
  <c r="J42" i="1" s="1"/>
  <c r="F187" i="1"/>
  <c r="B28" i="6"/>
  <c r="H93" i="1"/>
  <c r="J93" i="1" s="1"/>
  <c r="J89" i="1"/>
  <c r="F189" i="1"/>
  <c r="E14" i="6"/>
  <c r="I14" i="6" s="1"/>
  <c r="J188" i="1"/>
  <c r="J124" i="1"/>
  <c r="A72" i="1"/>
  <c r="C73" i="1" s="1"/>
  <c r="D76" i="1"/>
  <c r="D46" i="14"/>
  <c r="D30" i="14"/>
  <c r="D15" i="14"/>
  <c r="W10" i="14"/>
  <c r="W11" i="14" s="1"/>
  <c r="W12" i="14" s="1"/>
  <c r="W13" i="14" s="1"/>
  <c r="W14" i="14" s="1"/>
  <c r="W15" i="14" s="1"/>
  <c r="W16" i="14" s="1"/>
  <c r="W17" i="14" s="1"/>
  <c r="W18" i="14" s="1"/>
  <c r="W19" i="14" s="1"/>
  <c r="W20" i="14" s="1"/>
  <c r="W21" i="14" s="1"/>
  <c r="G24" i="13" s="1"/>
  <c r="G25" i="13" s="1"/>
  <c r="F9" i="13" s="1"/>
  <c r="F12" i="13" s="1"/>
  <c r="E13" i="6" l="1"/>
  <c r="I13" i="6" s="1"/>
  <c r="I16" i="6" s="1"/>
  <c r="J187" i="1"/>
  <c r="D53" i="3"/>
  <c r="E15" i="6"/>
  <c r="I15" i="6" s="1"/>
  <c r="J189" i="1"/>
  <c r="J118" i="1"/>
  <c r="A55" i="3"/>
  <c r="A60" i="3" s="1"/>
  <c r="A61" i="3" s="1"/>
  <c r="D55" i="3"/>
  <c r="G26" i="8"/>
  <c r="D31" i="14"/>
  <c r="D16" i="14"/>
  <c r="D47" i="14"/>
  <c r="J76" i="1"/>
  <c r="J68" i="1"/>
  <c r="H68" i="1" s="1"/>
  <c r="A73" i="1"/>
  <c r="A75" i="1" s="1"/>
  <c r="A76" i="1" s="1"/>
  <c r="D77" i="1"/>
  <c r="D31" i="10"/>
  <c r="D47" i="10" s="1"/>
  <c r="D16" i="10"/>
  <c r="E97" i="1"/>
  <c r="A62" i="3" l="1"/>
  <c r="A63" i="3" s="1"/>
  <c r="A64" i="3" s="1"/>
  <c r="A65" i="3" s="1"/>
  <c r="A66" i="3" s="1"/>
  <c r="A67" i="3" s="1"/>
  <c r="A68" i="3" s="1"/>
  <c r="A69" i="3" s="1"/>
  <c r="A70" i="3" s="1"/>
  <c r="A71" i="3" s="1"/>
  <c r="A72" i="3" s="1"/>
  <c r="A73" i="3" s="1"/>
  <c r="A74" i="3" s="1"/>
  <c r="D74" i="3"/>
  <c r="D21" i="6"/>
  <c r="J92" i="1"/>
  <c r="J95" i="1" s="1"/>
  <c r="L7" i="7"/>
  <c r="A77" i="1"/>
  <c r="A78" i="1" s="1"/>
  <c r="D195" i="1"/>
  <c r="H133" i="1"/>
  <c r="J133" i="1" s="1"/>
  <c r="H94" i="1"/>
  <c r="J94" i="1" s="1"/>
  <c r="H131" i="1"/>
  <c r="J131" i="1" s="1"/>
  <c r="H195" i="1"/>
  <c r="H199" i="1" s="1"/>
  <c r="J78" i="1"/>
  <c r="D48" i="14"/>
  <c r="D32" i="14"/>
  <c r="D17" i="14"/>
  <c r="D32" i="10"/>
  <c r="D48" i="10" s="1"/>
  <c r="D17" i="10"/>
  <c r="G27" i="8"/>
  <c r="J190" i="1"/>
  <c r="E151" i="1" l="1"/>
  <c r="E138" i="1"/>
  <c r="A80" i="1"/>
  <c r="A81" i="1" s="1"/>
  <c r="H78" i="1"/>
  <c r="J38" i="6"/>
  <c r="L9" i="7"/>
  <c r="J134" i="1"/>
  <c r="G28" i="8"/>
  <c r="D18" i="10"/>
  <c r="D33" i="10"/>
  <c r="D49" i="10" s="1"/>
  <c r="D33" i="14"/>
  <c r="D49" i="14"/>
  <c r="D18" i="14"/>
  <c r="C78" i="1"/>
  <c r="A76" i="3"/>
  <c r="A77" i="3" s="1"/>
  <c r="A82" i="1" l="1"/>
  <c r="A83" i="1" s="1"/>
  <c r="D50" i="14"/>
  <c r="D34" i="14"/>
  <c r="D19" i="14"/>
  <c r="D34" i="10"/>
  <c r="D50" i="10" s="1"/>
  <c r="D19" i="10"/>
  <c r="G29" i="8"/>
  <c r="E145" i="1"/>
  <c r="E148" i="1" s="1"/>
  <c r="E153" i="1" s="1"/>
  <c r="F14" i="13"/>
  <c r="F16" i="13" s="1"/>
  <c r="H16" i="13" s="1"/>
  <c r="F14" i="9"/>
  <c r="F16" i="9" s="1"/>
  <c r="H16" i="9" s="1"/>
  <c r="H82" i="1"/>
  <c r="J82" i="1" s="1"/>
  <c r="G28" i="6"/>
  <c r="I28" i="6" s="1"/>
  <c r="H146" i="1"/>
  <c r="J146" i="1" s="1"/>
  <c r="H81" i="1"/>
  <c r="J81" i="1" s="1"/>
  <c r="A78" i="3"/>
  <c r="A79" i="3" s="1"/>
  <c r="A80" i="3" s="1"/>
  <c r="A81" i="3" s="1"/>
  <c r="A82" i="3" s="1"/>
  <c r="A83" i="3" s="1"/>
  <c r="A84" i="3" s="1"/>
  <c r="A85" i="3" s="1"/>
  <c r="A86" i="3" s="1"/>
  <c r="A87" i="3" s="1"/>
  <c r="A88" i="3" s="1"/>
  <c r="A89" i="3" s="1"/>
  <c r="A90" i="3" s="1"/>
  <c r="D90" i="3"/>
  <c r="D35" i="10" l="1"/>
  <c r="D51" i="10" s="1"/>
  <c r="D20" i="10"/>
  <c r="D35" i="14"/>
  <c r="D51" i="14"/>
  <c r="D20" i="14"/>
  <c r="A92" i="3"/>
  <c r="A93" i="3" s="1"/>
  <c r="J87" i="1"/>
  <c r="J97" i="1" s="1"/>
  <c r="D196" i="1"/>
  <c r="A84" i="1"/>
  <c r="A85" i="1" s="1"/>
  <c r="G30" i="8"/>
  <c r="G31" i="8" l="1"/>
  <c r="D36" i="14"/>
  <c r="D52" i="14"/>
  <c r="D21" i="14"/>
  <c r="D36" i="10"/>
  <c r="D52" i="10" s="1"/>
  <c r="D21" i="10"/>
  <c r="D37" i="10" s="1"/>
  <c r="D53" i="10" s="1"/>
  <c r="D106" i="3"/>
  <c r="A94" i="3"/>
  <c r="A95" i="3" s="1"/>
  <c r="A96" i="3" s="1"/>
  <c r="A97" i="3" s="1"/>
  <c r="A98" i="3" s="1"/>
  <c r="A99" i="3" s="1"/>
  <c r="A100" i="3" s="1"/>
  <c r="A101" i="3" s="1"/>
  <c r="A102" i="3" s="1"/>
  <c r="A103" i="3" s="1"/>
  <c r="A104" i="3" s="1"/>
  <c r="A105" i="3" s="1"/>
  <c r="A106" i="3" s="1"/>
  <c r="D198" i="1"/>
  <c r="A86" i="1"/>
  <c r="J8" i="6"/>
  <c r="J17" i="6" s="1"/>
  <c r="J151" i="1"/>
  <c r="D53" i="14" l="1"/>
  <c r="D37" i="14"/>
  <c r="J34" i="6"/>
  <c r="J145" i="1"/>
  <c r="J148" i="1" s="1"/>
  <c r="I27" i="6"/>
  <c r="J29" i="6" s="1"/>
  <c r="J32" i="6" s="1"/>
  <c r="D27" i="6"/>
  <c r="D29" i="6" s="1"/>
  <c r="D197" i="1"/>
  <c r="A87" i="1"/>
  <c r="C87" i="1"/>
  <c r="G32" i="8"/>
  <c r="A108" i="3"/>
  <c r="A5" i="4" s="1"/>
  <c r="A7" i="4" s="1"/>
  <c r="A9" i="4" s="1"/>
  <c r="A11" i="4" s="1"/>
  <c r="A13" i="4" s="1"/>
  <c r="D108" i="3"/>
  <c r="J35" i="6" l="1"/>
  <c r="J36" i="6" s="1"/>
  <c r="J37" i="6" s="1"/>
  <c r="J39" i="6" s="1"/>
  <c r="L11" i="7" s="1"/>
  <c r="J153" i="1"/>
  <c r="A89" i="1"/>
  <c r="A91" i="1" s="1"/>
  <c r="A92" i="1" s="1"/>
  <c r="A14" i="4"/>
  <c r="A15" i="4" s="1"/>
  <c r="A16" i="4" s="1"/>
  <c r="A17" i="4" s="1"/>
  <c r="A18" i="4" s="1"/>
  <c r="A19" i="4" s="1"/>
  <c r="A20" i="4" s="1"/>
  <c r="A21" i="4" s="1"/>
  <c r="A22" i="4" s="1"/>
  <c r="A23" i="4" s="1"/>
  <c r="A24" i="4" s="1"/>
  <c r="A25" i="4" s="1"/>
  <c r="A26" i="4" s="1"/>
  <c r="A30" i="4" s="1"/>
  <c r="A31" i="4" s="1"/>
  <c r="G36" i="8"/>
  <c r="G39" i="8"/>
  <c r="F30" i="7" l="1"/>
  <c r="K30" i="7" s="1"/>
  <c r="F26" i="7"/>
  <c r="K26" i="7" s="1"/>
  <c r="F29" i="7"/>
  <c r="K29" i="7" s="1"/>
  <c r="F27" i="7"/>
  <c r="K27" i="7" s="1"/>
  <c r="F28" i="7"/>
  <c r="K28" i="7" s="1"/>
  <c r="F25" i="7"/>
  <c r="K25" i="7" s="1"/>
  <c r="D26" i="4"/>
  <c r="A32" i="4"/>
  <c r="A33" i="4" s="1"/>
  <c r="A34" i="4" s="1"/>
  <c r="A35" i="4" s="1"/>
  <c r="A36" i="4" s="1"/>
  <c r="A37" i="4" s="1"/>
  <c r="A38" i="4" s="1"/>
  <c r="A39" i="4" s="1"/>
  <c r="A40" i="4" s="1"/>
  <c r="A41" i="4" s="1"/>
  <c r="A42" i="4" s="1"/>
  <c r="A43" i="4" s="1"/>
  <c r="A44" i="4" s="1"/>
  <c r="A51" i="4" s="1"/>
  <c r="A58" i="4" s="1"/>
  <c r="A76" i="4" s="1"/>
  <c r="A89" i="4" s="1"/>
  <c r="A100" i="4" s="1"/>
  <c r="A107" i="4" s="1"/>
  <c r="A114" i="4" s="1"/>
  <c r="A124" i="4" s="1"/>
  <c r="A125" i="4" s="1"/>
  <c r="A126" i="4" s="1"/>
  <c r="A127" i="4" s="1"/>
  <c r="A128" i="4" s="1"/>
  <c r="A129" i="4" s="1"/>
  <c r="A130" i="4" s="1"/>
  <c r="A131" i="4" s="1"/>
  <c r="A132" i="4" s="1"/>
  <c r="A133" i="4" s="1"/>
  <c r="A134" i="4" s="1"/>
  <c r="A135" i="4" s="1"/>
  <c r="A136" i="4" s="1"/>
  <c r="A138" i="4" s="1"/>
  <c r="A144" i="4" s="1"/>
  <c r="A146" i="4" s="1"/>
  <c r="A154" i="4" s="1"/>
  <c r="A157" i="4" s="1"/>
  <c r="A158" i="4" s="1"/>
  <c r="L6" i="7"/>
  <c r="L8" i="7" s="1"/>
  <c r="L10" i="7" s="1"/>
  <c r="A93" i="1"/>
  <c r="A94" i="1" s="1"/>
  <c r="A95" i="1" s="1"/>
  <c r="G40" i="8"/>
  <c r="A97" i="1" l="1"/>
  <c r="C97" i="1"/>
  <c r="N27" i="7"/>
  <c r="L27" i="7"/>
  <c r="E22" i="7"/>
  <c r="E24" i="7"/>
  <c r="A159" i="4"/>
  <c r="A160" i="4" s="1"/>
  <c r="A161" i="4" s="1"/>
  <c r="A162" i="4" s="1"/>
  <c r="A163" i="4" s="1"/>
  <c r="A164" i="4" s="1"/>
  <c r="A165" i="4" s="1"/>
  <c r="A167" i="4" s="1"/>
  <c r="A10" i="5" s="1"/>
  <c r="A11" i="5" s="1"/>
  <c r="D44" i="4"/>
  <c r="N28" i="7"/>
  <c r="L28" i="7"/>
  <c r="N26" i="7"/>
  <c r="L26" i="7"/>
  <c r="C95" i="1"/>
  <c r="N29" i="7"/>
  <c r="L29" i="7"/>
  <c r="G41" i="8"/>
  <c r="N25" i="7"/>
  <c r="L25" i="7"/>
  <c r="N30" i="7"/>
  <c r="L30" i="7"/>
  <c r="C165" i="4" l="1"/>
  <c r="A12" i="5"/>
  <c r="A13" i="5" s="1"/>
  <c r="A14" i="5" s="1"/>
  <c r="A15" i="5" s="1"/>
  <c r="C15" i="5"/>
  <c r="J24" i="7"/>
  <c r="F24" i="7"/>
  <c r="K24" i="7" s="1"/>
  <c r="E23" i="7"/>
  <c r="J22" i="7"/>
  <c r="F22" i="7"/>
  <c r="K22" i="7" s="1"/>
  <c r="G42" i="8"/>
  <c r="A109" i="1"/>
  <c r="A110" i="1" s="1"/>
  <c r="N22" i="7" l="1"/>
  <c r="L22" i="7"/>
  <c r="A111" i="1"/>
  <c r="A114" i="1" s="1"/>
  <c r="A115" i="1" s="1"/>
  <c r="A116" i="1" s="1"/>
  <c r="A117" i="1" s="1"/>
  <c r="A118" i="1" s="1"/>
  <c r="J23" i="7"/>
  <c r="J31" i="7" s="1"/>
  <c r="F23" i="7"/>
  <c r="K23" i="7" s="1"/>
  <c r="G43" i="8"/>
  <c r="A16" i="5"/>
  <c r="A17" i="5" s="1"/>
  <c r="A18" i="5" s="1"/>
  <c r="A19" i="5" s="1"/>
  <c r="L24" i="7"/>
  <c r="N24" i="7"/>
  <c r="N23" i="7" l="1"/>
  <c r="L23" i="7"/>
  <c r="L31" i="7" s="1"/>
  <c r="E155" i="1" s="1"/>
  <c r="C118" i="1"/>
  <c r="A20" i="5"/>
  <c r="A21" i="5" s="1"/>
  <c r="A22" i="5" s="1"/>
  <c r="A23" i="5" s="1"/>
  <c r="A24" i="5" s="1"/>
  <c r="A25" i="5" s="1"/>
  <c r="A26" i="5" s="1"/>
  <c r="A27" i="5" s="1"/>
  <c r="A28" i="5" s="1"/>
  <c r="C23" i="5"/>
  <c r="A120" i="1"/>
  <c r="A121" i="1" s="1"/>
  <c r="B25" i="5"/>
  <c r="G44" i="8"/>
  <c r="K31" i="7"/>
  <c r="N31" i="7" s="1"/>
  <c r="J155" i="1" l="1"/>
  <c r="J157" i="1" s="1"/>
  <c r="J38" i="1" s="1"/>
  <c r="E157" i="1"/>
  <c r="A122" i="1"/>
  <c r="A123" i="1" s="1"/>
  <c r="A124" i="1" s="1"/>
  <c r="A29" i="5"/>
  <c r="A30" i="5" s="1"/>
  <c r="A31" i="5" s="1"/>
  <c r="A32" i="5" s="1"/>
  <c r="A33" i="5" s="1"/>
  <c r="A34" i="5" s="1"/>
  <c r="C34" i="5"/>
  <c r="G45" i="8"/>
  <c r="A126" i="1" l="1"/>
  <c r="A127" i="1" s="1"/>
  <c r="A128" i="1" s="1"/>
  <c r="G46" i="8"/>
  <c r="A35" i="5"/>
  <c r="A36" i="5" s="1"/>
  <c r="A37" i="5" s="1"/>
  <c r="A38" i="5" s="1"/>
  <c r="A39" i="5" s="1"/>
  <c r="B36" i="5"/>
  <c r="C124" i="1"/>
  <c r="E10" i="8"/>
  <c r="H10" i="8" s="1"/>
  <c r="J54" i="8" l="1"/>
  <c r="E21" i="8"/>
  <c r="B41" i="5"/>
  <c r="A40" i="5"/>
  <c r="A41" i="5" s="1"/>
  <c r="G47" i="8"/>
  <c r="A129" i="1"/>
  <c r="A130" i="1" s="1"/>
  <c r="A131" i="1" s="1"/>
  <c r="A132" i="1" s="1"/>
  <c r="A133" i="1" s="1"/>
  <c r="A134" i="1" s="1"/>
  <c r="G48" i="8" l="1"/>
  <c r="A136" i="1"/>
  <c r="A137" i="1" s="1"/>
  <c r="C134" i="1"/>
  <c r="E22" i="8"/>
  <c r="I21" i="8"/>
  <c r="L21" i="8" l="1"/>
  <c r="E23" i="8"/>
  <c r="I22" i="8"/>
  <c r="L22" i="8" s="1"/>
  <c r="A138" i="1"/>
  <c r="C141" i="1"/>
  <c r="G49" i="8"/>
  <c r="G50" i="8" l="1"/>
  <c r="E24" i="8"/>
  <c r="I23" i="8"/>
  <c r="A139" i="1"/>
  <c r="A140" i="1" s="1"/>
  <c r="A141" i="1" s="1"/>
  <c r="E25" i="8" l="1"/>
  <c r="I24" i="8"/>
  <c r="L24" i="8" s="1"/>
  <c r="A142" i="1"/>
  <c r="A145" i="1" s="1"/>
  <c r="C146" i="1"/>
  <c r="L23" i="8"/>
  <c r="A146" i="1" l="1"/>
  <c r="A148" i="1" s="1"/>
  <c r="E26" i="8"/>
  <c r="I25" i="8"/>
  <c r="E27" i="8" l="1"/>
  <c r="I26" i="8"/>
  <c r="L26" i="8" s="1"/>
  <c r="L25" i="8"/>
  <c r="B35" i="6"/>
  <c r="A150" i="1"/>
  <c r="A151" i="1" s="1"/>
  <c r="C153" i="1" s="1"/>
  <c r="D148" i="1"/>
  <c r="B34" i="6" l="1"/>
  <c r="A153" i="1"/>
  <c r="C145" i="1"/>
  <c r="E28" i="8"/>
  <c r="I27" i="8"/>
  <c r="E29" i="8" l="1"/>
  <c r="I28" i="8"/>
  <c r="L28" i="8" s="1"/>
  <c r="A155" i="1"/>
  <c r="A157" i="1" s="1"/>
  <c r="C157" i="1"/>
  <c r="L27" i="8"/>
  <c r="A170" i="1" l="1"/>
  <c r="A172" i="1" s="1"/>
  <c r="D38" i="1"/>
  <c r="E30" i="8"/>
  <c r="I29" i="8"/>
  <c r="L29" i="8" l="1"/>
  <c r="E31" i="8"/>
  <c r="I30" i="8"/>
  <c r="L30" i="8" s="1"/>
  <c r="A173" i="1"/>
  <c r="A174" i="1" s="1"/>
  <c r="A175" i="1" s="1"/>
  <c r="C175" i="1" l="1"/>
  <c r="E32" i="8"/>
  <c r="I32" i="8" s="1"/>
  <c r="I31" i="8"/>
  <c r="L31" i="8" s="1"/>
  <c r="C177" i="1"/>
  <c r="A177" i="1"/>
  <c r="A179" i="1" s="1"/>
  <c r="A180" i="1" s="1"/>
  <c r="A181" i="1" s="1"/>
  <c r="A182" i="1" l="1"/>
  <c r="A183" i="1" s="1"/>
  <c r="A185" i="1" s="1"/>
  <c r="A187" i="1" s="1"/>
  <c r="L32" i="8"/>
  <c r="L33" i="8" s="1"/>
  <c r="E36" i="8" s="1"/>
  <c r="I33" i="8"/>
  <c r="I36" i="8" l="1"/>
  <c r="L36" i="8" s="1"/>
  <c r="A188" i="1"/>
  <c r="A189" i="1" s="1"/>
  <c r="A190" i="1" s="1"/>
  <c r="C139" i="1"/>
  <c r="C190" i="1"/>
  <c r="C183" i="1"/>
  <c r="E39" i="8" l="1"/>
  <c r="J39" i="8"/>
  <c r="A195" i="1"/>
  <c r="A196" i="1" s="1"/>
  <c r="A197" i="1" s="1"/>
  <c r="A198" i="1" s="1"/>
  <c r="A199" i="1" s="1"/>
  <c r="C151" i="1"/>
  <c r="E38" i="6" l="1"/>
  <c r="G9" i="7"/>
  <c r="J40" i="8"/>
  <c r="J41" i="8" s="1"/>
  <c r="J42" i="8" s="1"/>
  <c r="J43" i="8" s="1"/>
  <c r="J44" i="8" s="1"/>
  <c r="J45" i="8" s="1"/>
  <c r="J46" i="8" s="1"/>
  <c r="J47" i="8" s="1"/>
  <c r="J48" i="8" s="1"/>
  <c r="J49" i="8" s="1"/>
  <c r="J50" i="8" s="1"/>
  <c r="L39" i="8"/>
  <c r="E40" i="8" s="1"/>
  <c r="I39" i="8"/>
  <c r="L40" i="8" l="1"/>
  <c r="E41" i="8" s="1"/>
  <c r="I40" i="8"/>
  <c r="J53" i="8"/>
  <c r="J55" i="8" l="1"/>
  <c r="E43" i="1"/>
  <c r="J43" i="1" s="1"/>
  <c r="J45" i="1" s="1"/>
  <c r="L41" i="8"/>
  <c r="E42" i="8" s="1"/>
  <c r="I41" i="8"/>
  <c r="L42" i="8" l="1"/>
  <c r="E43" i="8" s="1"/>
  <c r="I42" i="8"/>
  <c r="L43" i="8" l="1"/>
  <c r="E44" i="8" s="1"/>
  <c r="I43" i="8"/>
  <c r="L44" i="8" l="1"/>
  <c r="E45" i="8" s="1"/>
  <c r="I44" i="8"/>
  <c r="L45" i="8" l="1"/>
  <c r="E46" i="8" s="1"/>
  <c r="I45" i="8"/>
  <c r="L46" i="8" l="1"/>
  <c r="E47" i="8" s="1"/>
  <c r="I46" i="8"/>
  <c r="L47" i="8" l="1"/>
  <c r="E48" i="8" s="1"/>
  <c r="I47" i="8"/>
  <c r="L48" i="8" l="1"/>
  <c r="E49" i="8" s="1"/>
  <c r="I48" i="8"/>
  <c r="L49" i="8" l="1"/>
  <c r="E50" i="8" s="1"/>
  <c r="I49" i="8"/>
  <c r="L50" i="8" l="1"/>
  <c r="I50" i="8"/>
  <c r="I51" i="8" s="1"/>
</calcChain>
</file>

<file path=xl/sharedStrings.xml><?xml version="1.0" encoding="utf-8"?>
<sst xmlns="http://schemas.openxmlformats.org/spreadsheetml/2006/main" count="2096" uniqueCount="983">
  <si>
    <t>Appendix III</t>
  </si>
  <si>
    <t>Page 1 of 5</t>
  </si>
  <si>
    <r>
      <t>Rate Formula Template</t>
    </r>
    <r>
      <rPr>
        <strike/>
        <sz val="12"/>
        <color indexed="10"/>
        <rFont val="Arial Narrow"/>
        <family val="2"/>
      </rPr>
      <t xml:space="preserve"> </t>
    </r>
  </si>
  <si>
    <t xml:space="preserve"> </t>
  </si>
  <si>
    <t xml:space="preserve"> Utilizing FERC Form 1 Data</t>
  </si>
  <si>
    <t>Actual Annual Transmission Revenue Requirement</t>
  </si>
  <si>
    <t>Horizon West Transmission, LLC</t>
  </si>
  <si>
    <t xml:space="preserve">                         (Horizon West)</t>
  </si>
  <si>
    <t>Formula Rate Index</t>
  </si>
  <si>
    <t xml:space="preserve">Appendix </t>
  </si>
  <si>
    <t>III</t>
  </si>
  <si>
    <t>Main Body of the Formula</t>
  </si>
  <si>
    <t xml:space="preserve">Attachment </t>
  </si>
  <si>
    <t>Revenue Credit Worksheet</t>
  </si>
  <si>
    <t>Cost Support</t>
  </si>
  <si>
    <t>Incentives Worksheet</t>
  </si>
  <si>
    <t>Transmission Enhancement Worksheet</t>
  </si>
  <si>
    <t>True-Up</t>
  </si>
  <si>
    <t>6a</t>
  </si>
  <si>
    <t>ADIT Projection</t>
  </si>
  <si>
    <t>6b</t>
  </si>
  <si>
    <t>ADIT Projection Proration</t>
  </si>
  <si>
    <t>6c</t>
  </si>
  <si>
    <t>ADIT BOY</t>
  </si>
  <si>
    <t>6d</t>
  </si>
  <si>
    <t>ADIT EOY</t>
  </si>
  <si>
    <t>6e</t>
  </si>
  <si>
    <t>ADIT True up</t>
  </si>
  <si>
    <t>6f</t>
  </si>
  <si>
    <t>ADIT True up proration</t>
  </si>
  <si>
    <t>7</t>
  </si>
  <si>
    <t>Unfunded Reserves</t>
  </si>
  <si>
    <t>CWIP</t>
  </si>
  <si>
    <t>Depreciation Rates</t>
  </si>
  <si>
    <t>Future Use</t>
  </si>
  <si>
    <t>Reg Asset and Abandoned Plant Details</t>
  </si>
  <si>
    <t>Income Tax Adjustment</t>
  </si>
  <si>
    <t xml:space="preserve">Formula Rate - Non-Levelized </t>
  </si>
  <si>
    <t>(1)</t>
  </si>
  <si>
    <t>(2)</t>
  </si>
  <si>
    <t>(3)</t>
  </si>
  <si>
    <t>Line</t>
  </si>
  <si>
    <t>Allocated</t>
  </si>
  <si>
    <t>No.</t>
  </si>
  <si>
    <t>Amount</t>
  </si>
  <si>
    <t xml:space="preserve">GROSS REVENUE REQUIREMENT    </t>
  </si>
  <si>
    <t>12 months</t>
  </si>
  <si>
    <t xml:space="preserve">REVENUE CREDITS </t>
  </si>
  <si>
    <t>Total</t>
  </si>
  <si>
    <t>Allocator</t>
  </si>
  <si>
    <t>True-up Adjustment</t>
  </si>
  <si>
    <t xml:space="preserve">Attach 5, Line 47 </t>
  </si>
  <si>
    <t>DA</t>
  </si>
  <si>
    <t>NET REVENUE REQUIREMENT</t>
  </si>
  <si>
    <t>Page 2 of 5</t>
  </si>
  <si>
    <t xml:space="preserve">                      Horizon West Transmission, LLC</t>
  </si>
  <si>
    <t>(4)</t>
  </si>
  <si>
    <t>(5)</t>
  </si>
  <si>
    <t>Transmission</t>
  </si>
  <si>
    <t>Source</t>
  </si>
  <si>
    <t>Company Total</t>
  </si>
  <si>
    <t xml:space="preserve">                  Allocator</t>
  </si>
  <si>
    <t>(Col 3 times Col 4)</t>
  </si>
  <si>
    <t>RATE BASE:</t>
  </si>
  <si>
    <t>GROSS PLANT IN SERVICE  (Notes M &amp; P)</t>
  </si>
  <si>
    <t xml:space="preserve">  Transmission </t>
  </si>
  <si>
    <t>(Attach 2, line 15)</t>
  </si>
  <si>
    <t>TP</t>
  </si>
  <si>
    <t xml:space="preserve">  General &amp; Intangible</t>
  </si>
  <si>
    <t>(Attach 2, lines 30 &amp; 45)</t>
  </si>
  <si>
    <t>W/S</t>
  </si>
  <si>
    <t>(If line 5&gt;0, GP= line 7, column 5 / line 7, column 3.  If line 5=0, GP=0)</t>
  </si>
  <si>
    <t>GP=</t>
  </si>
  <si>
    <t>ACCUMULATED DEPRECIATION &amp; AMORTIZATION  (Notes M &amp; P)</t>
  </si>
  <si>
    <t>(Attach 2, line 61)</t>
  </si>
  <si>
    <t>(Attach 2, lines 76 &amp; 91)</t>
  </si>
  <si>
    <t>NET PLANT IN SERVICE</t>
  </si>
  <si>
    <t xml:space="preserve">  Transmission</t>
  </si>
  <si>
    <t xml:space="preserve">  General &amp; Intangible </t>
  </si>
  <si>
    <t>(If line 13&gt;0, NP= line 15, column 5 / line 15, column 3.  If line 15=0, NP=0)</t>
  </si>
  <si>
    <t>NP=</t>
  </si>
  <si>
    <t xml:space="preserve">  ADIT</t>
  </si>
  <si>
    <t>(Attach 6e, line 8, column E)</t>
  </si>
  <si>
    <t>NP</t>
  </si>
  <si>
    <t xml:space="preserve">  Account No. 255 (enter negative) (Note F)</t>
  </si>
  <si>
    <t>(Attach 2, line 93)</t>
  </si>
  <si>
    <t xml:space="preserve">  CWIP</t>
  </si>
  <si>
    <t>(Attach 2, line 125, "Incentive" column)</t>
  </si>
  <si>
    <t xml:space="preserve">  Reserves (enter negative)</t>
  </si>
  <si>
    <t>(Attach 2, line 127a)</t>
  </si>
  <si>
    <t xml:space="preserve">  Unamortized Regulatory Assets</t>
  </si>
  <si>
    <t>(Attach 2, line 148) (Note L)</t>
  </si>
  <si>
    <t xml:space="preserve">  Unamortized Abandoned Plant</t>
  </si>
  <si>
    <t>(Attach 2, line 94) (Note K)</t>
  </si>
  <si>
    <t>LAND HELD FOR FUTURE USE</t>
  </si>
  <si>
    <t>(Attach 2, line 126a)</t>
  </si>
  <si>
    <t xml:space="preserve">  CWC  </t>
  </si>
  <si>
    <t>calculated (1/8 * (line 38 less line 33b))</t>
  </si>
  <si>
    <t>(Attach 2, line 146)</t>
  </si>
  <si>
    <t>(Attach 2, line 110)</t>
  </si>
  <si>
    <t>GP</t>
  </si>
  <si>
    <t>Page 3 of 5</t>
  </si>
  <si>
    <t>O&amp;M</t>
  </si>
  <si>
    <t>321.112.b  &amp; (Note O)</t>
  </si>
  <si>
    <t xml:space="preserve">     Less Accounts 565, 561, 561.1, 561.3, and 561.6 to 561.8, and 566</t>
  </si>
  <si>
    <t>321.84.b to 92.b, 96.b &amp; 97.b</t>
  </si>
  <si>
    <t>33a</t>
  </si>
  <si>
    <t xml:space="preserve">     Account 566 excluding Amortization of Regulatory Assets</t>
  </si>
  <si>
    <t>321.96 less line 33b</t>
  </si>
  <si>
    <t>33b</t>
  </si>
  <si>
    <t xml:space="preserve">     Account 566 Amortization of Regulatory Assets</t>
  </si>
  <si>
    <t>(Attach 2, line 147)</t>
  </si>
  <si>
    <t xml:space="preserve">  A&amp;G</t>
  </si>
  <si>
    <t>323.197.b</t>
  </si>
  <si>
    <t xml:space="preserve">     Less EPRI &amp; Reg. Comm. Exp. &amp; Other  Ad.  </t>
  </si>
  <si>
    <t>(Attach 2, lines 128, 129, 131) (Note D)</t>
  </si>
  <si>
    <t xml:space="preserve">     Plus Transmission Related Reg. Comm.  Exp.  </t>
  </si>
  <si>
    <t>(Attach 2, line 129) (Note D)</t>
  </si>
  <si>
    <t xml:space="preserve">     PBOP expense adjustment</t>
  </si>
  <si>
    <t>(Attach 2, line 159)</t>
  </si>
  <si>
    <t>DEPRECIATION EXPENSE  (Notes M &amp; P)</t>
  </si>
  <si>
    <t>336.7.b,d&amp;e</t>
  </si>
  <si>
    <t xml:space="preserve">  General and Intangible</t>
  </si>
  <si>
    <t>336.1.b,d&amp;e + 336.10.b, d&amp;e</t>
  </si>
  <si>
    <t xml:space="preserve">  Amortization of Abandoned Plant</t>
  </si>
  <si>
    <t>(Attach 2, line 95) (Note K)</t>
  </si>
  <si>
    <t xml:space="preserve">  LABOR RELATED</t>
  </si>
  <si>
    <t xml:space="preserve">          Payroll</t>
  </si>
  <si>
    <t>263._.i (enter FN1 line #)</t>
  </si>
  <si>
    <t xml:space="preserve">          Highway and vehicle</t>
  </si>
  <si>
    <t xml:space="preserve">  PLANT RELATED</t>
  </si>
  <si>
    <t xml:space="preserve">         Property</t>
  </si>
  <si>
    <t>263.7.l (enter FN1 line #)</t>
  </si>
  <si>
    <t xml:space="preserve">         Gross Receipts</t>
  </si>
  <si>
    <t>NA</t>
  </si>
  <si>
    <t xml:space="preserve">         Other</t>
  </si>
  <si>
    <t xml:space="preserve">INCOME TAXES          </t>
  </si>
  <si>
    <t xml:space="preserve">     T=1 - {[(1 - SIT) * (1 - FIT)] / (1 - SIT * FIT * p)} =</t>
  </si>
  <si>
    <t xml:space="preserve">     CIT=(T/1-T) * (1-(WCLTD/R)) =</t>
  </si>
  <si>
    <t>Amortized Investment Tax Credit (266.8f) (enter negative)</t>
  </si>
  <si>
    <t>59a</t>
  </si>
  <si>
    <t>Tax Effect of Permanent Differences, including AFUDC Equity (Note Q)</t>
  </si>
  <si>
    <t>(Attach 12, Line 1, column (b))</t>
  </si>
  <si>
    <t>61a</t>
  </si>
  <si>
    <t>Permanent Differences Tax Adjustment</t>
  </si>
  <si>
    <t>Total Income Taxes</t>
  </si>
  <si>
    <t xml:space="preserve">RETURN </t>
  </si>
  <si>
    <t>Return and Income Tax on Incentive Projects</t>
  </si>
  <si>
    <t>(Attach 4, col. K, line 8) (Note N)</t>
  </si>
  <si>
    <t>Page 4 of 5</t>
  </si>
  <si>
    <t>Rate Formula Template</t>
  </si>
  <si>
    <t xml:space="preserve">                   Horizon West Transmission, LLC</t>
  </si>
  <si>
    <t>SUPPORTING CALCULATIONS AND NOTES</t>
  </si>
  <si>
    <t>TRANSMISSION PLANT INCLUDED IN RTO RATES</t>
  </si>
  <si>
    <t>TP=</t>
  </si>
  <si>
    <t>WAGES &amp; SALARY ALLOCATOR   (W&amp;S) (Note I)</t>
  </si>
  <si>
    <t>Form 1 Reference</t>
  </si>
  <si>
    <t>$</t>
  </si>
  <si>
    <t>Allocation</t>
  </si>
  <si>
    <t>354.21.b</t>
  </si>
  <si>
    <t xml:space="preserve">  Other</t>
  </si>
  <si>
    <t>354.24,25,26.b</t>
  </si>
  <si>
    <t>N/A</t>
  </si>
  <si>
    <t>($ / Allocation)</t>
  </si>
  <si>
    <t>=</t>
  </si>
  <si>
    <t>%</t>
  </si>
  <si>
    <t>Cost</t>
  </si>
  <si>
    <t>Weighted</t>
  </si>
  <si>
    <t xml:space="preserve">  Long Term Debt  (Note G) (Attach 2, lines 165 &amp; 186)</t>
  </si>
  <si>
    <t>=WCLTD</t>
  </si>
  <si>
    <t xml:space="preserve">  Preferred Stock  (Attach 2, lines 167 &amp; 191)</t>
  </si>
  <si>
    <t xml:space="preserve">  Common Stock   (Attach 2, line 173)  </t>
  </si>
  <si>
    <t>=R</t>
  </si>
  <si>
    <t>Sum Of Net Transmission Plant, CWIP in Rate Base, Regulatory Asset and Unamortized Abandoned Plant</t>
  </si>
  <si>
    <t>(a)</t>
  </si>
  <si>
    <t>Net Transmission Plant in Service</t>
  </si>
  <si>
    <t>Unamortized Abandoned Plant</t>
  </si>
  <si>
    <t>Regulatory Assets</t>
  </si>
  <si>
    <t>DA indicates Direct Assignment and is equal to 1</t>
  </si>
  <si>
    <t>Page 5 of 5</t>
  </si>
  <si>
    <t xml:space="preserve">                SUPPORTING CALCULATIONS AND NOTES</t>
  </si>
  <si>
    <t xml:space="preserve">                     Horizon West Transmission, LLC</t>
  </si>
  <si>
    <t>General Note:  References to pages in this formulary rate are indicated as:  (page#, line#, col.#)</t>
  </si>
  <si>
    <t xml:space="preserve">                           References to data from FERC Form 1 are indicated as:   #.y.x  (page, line, column)</t>
  </si>
  <si>
    <t>Note</t>
  </si>
  <si>
    <t>Letter</t>
  </si>
  <si>
    <t>A</t>
  </si>
  <si>
    <t>The balances in Accounts 190, 281, 282 and 283, as adjusted by any amounts in contra accounts identified as regulatory assets  or liabilities related to FASB 158 or 109.  Balance of Account 255 is reduced by prior flow</t>
  </si>
  <si>
    <t>B</t>
  </si>
  <si>
    <t>Identified in Form 1 as being only transmission related.</t>
  </si>
  <si>
    <t>C</t>
  </si>
  <si>
    <t>Cash Working Capital assigned to transmission is one-eighth of O&amp;M (including A&amp;G) allocated to transmission and  Prepayments are the electric related prepayments booked to Account No. 165 and reported on Pages 110-111 line 57</t>
  </si>
  <si>
    <t>in the Form 1.</t>
  </si>
  <si>
    <t>D</t>
  </si>
  <si>
    <t>Line 35 excludes all Regulatory Commission Expenses itemized at 351.h, all advertising  included in Account 930.1 (except safety, education or out-reach related advertising) and all EEI and EPRI dues and expenses.</t>
  </si>
  <si>
    <t>Line 36 reflects all Regulatory Commission Expenses directly related to transmission service, RTO filings, or transmission siting itemized at 351.h.</t>
  </si>
  <si>
    <t>E</t>
  </si>
  <si>
    <t xml:space="preserve">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Excludes other taxes associated with facilities leased to others that are charged to the lessee. </t>
  </si>
  <si>
    <t>F</t>
  </si>
  <si>
    <t>CIT is the currently effective composite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t>
  </si>
  <si>
    <t xml:space="preserve">         Inputs Required:</t>
  </si>
  <si>
    <t>FIT =</t>
  </si>
  <si>
    <t>SIT=</t>
  </si>
  <si>
    <t xml:space="preserve">  (State Income Tax Rate or Composite SIT from Attach 2)</t>
  </si>
  <si>
    <t>p =</t>
  </si>
  <si>
    <t xml:space="preserve">  (percent of federal income tax deductible for state purposes)</t>
  </si>
  <si>
    <t>For each Rate Year (including both Annual Projections and True-Up Adjustments) the statutory income tax rates utilized in the Formula Rate shall reflect the weighted average rates actually in effect during the Rate Year.  For example, if the statutory tax rate is 10% from January 1 through June 30, and 5% from July 1 through December 31, such rates would be weighted 181/365 and 184/365, respectively, for a non-leap year.</t>
  </si>
  <si>
    <t>G</t>
  </si>
  <si>
    <t xml:space="preserve">Prior to issuing any debt, the cost of debt will be 1.75%.  When third party debt is obtained, the cost of debt is determined using the methodology in Attachment 2. </t>
  </si>
  <si>
    <t>H</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</si>
  <si>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</si>
  <si>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t>
  </si>
  <si>
    <t>Reserved</t>
  </si>
  <si>
    <t>J</t>
  </si>
  <si>
    <t xml:space="preserve">ROE will be supported in the original filing and no change in ROE may be made absent a filing with FERC under FPA Section 205 or 206.  Pursuant to the Commission-approved settlement in Docket No. ER15-2239, the base ROE applicable to the Suncrest and Estrella Projects shall not be </t>
  </si>
  <si>
    <t xml:space="preserve">subject to change until three years after the date on which both of the Suncrest and Estrella Projects are under the operational control of the CAISO.  </t>
  </si>
  <si>
    <t xml:space="preserve">The capital structure shown on lines 80-83 will be 50% equity and 50% debt until project is placed into service.  After the project is placed in service, the capital structure on lines 80-83 will reflect the actual capital structure.        </t>
  </si>
  <si>
    <t>K</t>
  </si>
  <si>
    <t xml:space="preserve">Unamortized Abandoned Plant and Amortization of Abandoned Plant will be zero until the Commission accepts or approves recovery of the cost of abandoned plant.  Company must submit a Section 205 filing to recover the cost of abandoned plant.  Any such filing to recover the cost of an abandoned plant item shall be made no later than 730 days after the date that Company formally declares such plant item abandoned.      </t>
  </si>
  <si>
    <t>L</t>
  </si>
  <si>
    <t xml:space="preserve">The regulatory assets will accrue carrying costs equal to the weighted cost of capital on line 83 until the formula rate is effective and the resulting charges are assessed to customers. </t>
  </si>
  <si>
    <t>M</t>
  </si>
  <si>
    <t>Any plant leased to others will be removed from Plant In Service and booked to Leased Plant, Account 104.  Expenses charged to the lessee will be booked to Account No. 413 and the accumulated depreciation</t>
  </si>
  <si>
    <t>associated with the leased plant shall not be included above on lines 9-11</t>
  </si>
  <si>
    <t>N</t>
  </si>
  <si>
    <t>Incentive returns are excluded from lines 5-65, but rather the incremental incentive return is calculated in Col K on Attach 4 and included on line 66.</t>
  </si>
  <si>
    <t>O</t>
  </si>
  <si>
    <t>Excludes TRBAA expenses</t>
  </si>
  <si>
    <t>P</t>
  </si>
  <si>
    <t>Excludes costs associated with Asset Retirement Obligations (ARO) absent a subsequent filing under FPA Section 205.</t>
  </si>
  <si>
    <t>Q</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</si>
  <si>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(1) the Equity portion of Allowance for Other Funds Used During Construction  (AFUDC) included in the current book depreciation expense and (2) meals and entertainment expenses. Permanent differences arising from lobbying and/or political contributions, or fines and penalties from government agencies will not be recovered through this mechanism. The recovery of any other permanent differences (which are expected to be extraordinary in nature) would be specifically identified in Attachment 12. The income tax impacts of these permanent differences are determined in Line 61b, Column 3.</t>
  </si>
  <si>
    <t xml:space="preserve">Attachment 1 - Revenue Credit Workpaper </t>
  </si>
  <si>
    <t xml:space="preserve">                                                                                            Horizon West Transmission, LLC</t>
  </si>
  <si>
    <t>Account 454 - Rent from Electric Property  (Note 3)</t>
  </si>
  <si>
    <t>Notes 1 &amp; 3</t>
  </si>
  <si>
    <t>Rent from FERC Form No. 1</t>
  </si>
  <si>
    <t>Note 3, line 11</t>
  </si>
  <si>
    <t>Account 456 and 456.1  (Note 3)</t>
  </si>
  <si>
    <t>Other Electric Revenues (Note 2)</t>
  </si>
  <si>
    <t>Note 3</t>
  </si>
  <si>
    <t xml:space="preserve">Professional Services </t>
  </si>
  <si>
    <t>Revenues from Directly Assigned Transmission Facility Charges (Note 2)</t>
  </si>
  <si>
    <t xml:space="preserve">Rent or Attachment Fees associated with Transmission Facilities </t>
  </si>
  <si>
    <t>Other</t>
  </si>
  <si>
    <t>Total Revenue Credits</t>
  </si>
  <si>
    <t>Note 1</t>
  </si>
  <si>
    <t xml:space="preserve">All revenues booked to Account 454 that are derived from cost items classified as transmission-related will be included as a revenue credit.  All revenues booked to Account 456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All revenue credits that are included in the TRBAA are excluded here. </t>
  </si>
  <si>
    <t>Note 2</t>
  </si>
  <si>
    <t>If the facilities associated with the revenues are not included in the formula, the revenue is shown below, but not included in the total above and explained in the Attachment 3. This includes plant leased to others and the associated expenses outlined in Note M of Appendix III.</t>
  </si>
  <si>
    <t>All Account 454, 456, and 456.1 Revenues must be itemized below and tie to the FERC Form No. 1 cites set forth below</t>
  </si>
  <si>
    <t>Line No.</t>
  </si>
  <si>
    <t>Account 456 and 456.1 (300.21.b plus 300.22.b)</t>
  </si>
  <si>
    <t>TOTAL</t>
  </si>
  <si>
    <t>CALISO</t>
  </si>
  <si>
    <t>Other 1</t>
  </si>
  <si>
    <t>Other 2</t>
  </si>
  <si>
    <t>1a</t>
  </si>
  <si>
    <t>Transmission Service</t>
  </si>
  <si>
    <t>…</t>
  </si>
  <si>
    <t>xxxx</t>
  </si>
  <si>
    <t>1x</t>
  </si>
  <si>
    <t>Trans. Fac. Charge</t>
  </si>
  <si>
    <t>Trans Studies</t>
  </si>
  <si>
    <t>Total  (must tie to 300.21.b plus 300.22.b)</t>
  </si>
  <si>
    <t>Less:</t>
  </si>
  <si>
    <t xml:space="preserve">     Revenue for Demands in Divisor </t>
  </si>
  <si>
    <t xml:space="preserve">     Revenue Credits included in the TRBAA</t>
  </si>
  <si>
    <t>Sub Total Revenue Credit</t>
  </si>
  <si>
    <t>Prior Period Adjustments</t>
  </si>
  <si>
    <t xml:space="preserve">Total  </t>
  </si>
  <si>
    <t>Account 454</t>
  </si>
  <si>
    <t>10a</t>
  </si>
  <si>
    <t>Joint pole attachments - telephone</t>
  </si>
  <si>
    <t>10b</t>
  </si>
  <si>
    <t>Joint pole attachments - cable</t>
  </si>
  <si>
    <t>10c</t>
  </si>
  <si>
    <t>Underground rentals</t>
  </si>
  <si>
    <t>10d</t>
  </si>
  <si>
    <t>Transmission tower wireless rentals</t>
  </si>
  <si>
    <t>10e</t>
  </si>
  <si>
    <t>Other rentals</t>
  </si>
  <si>
    <t>10f</t>
  </si>
  <si>
    <t>Corporate headquarters sublease</t>
  </si>
  <si>
    <t>10g</t>
  </si>
  <si>
    <t>Misc non-transmission rentals</t>
  </si>
  <si>
    <t>10x</t>
  </si>
  <si>
    <t>Total  (must tie to 300.19.b)</t>
  </si>
  <si>
    <t>Attachment 2 - Cost Support</t>
  </si>
  <si>
    <t xml:space="preserve">                                                             Horizon West Transmission, LLC</t>
  </si>
  <si>
    <r>
      <t xml:space="preserve">                                                                                 </t>
    </r>
    <r>
      <rPr>
        <b/>
        <sz val="12"/>
        <color rgb="FFFF0000"/>
        <rFont val="Arial Narrow"/>
        <family val="2"/>
      </rPr>
      <t xml:space="preserve">     </t>
    </r>
    <r>
      <rPr>
        <sz val="12"/>
        <rFont val="Arial Narrow"/>
        <family val="2"/>
      </rPr>
      <t xml:space="preserve"> </t>
    </r>
  </si>
  <si>
    <t>Plant in Service Worksheet</t>
  </si>
  <si>
    <t>Appendix III Line #s, Descriptions, Notes, Form 1 Page #s and Instructions</t>
  </si>
  <si>
    <t>Calculation of Transmission  Plant In Service</t>
  </si>
  <si>
    <t>Year</t>
  </si>
  <si>
    <t>Balance</t>
  </si>
  <si>
    <t>December</t>
  </si>
  <si>
    <t>p206.58.b less p206.57.b</t>
  </si>
  <si>
    <t>January</t>
  </si>
  <si>
    <t>Note A</t>
  </si>
  <si>
    <t>February</t>
  </si>
  <si>
    <t>March</t>
  </si>
  <si>
    <t>April</t>
  </si>
  <si>
    <t>May</t>
  </si>
  <si>
    <t xml:space="preserve">June </t>
  </si>
  <si>
    <t>July</t>
  </si>
  <si>
    <t>August</t>
  </si>
  <si>
    <t>September</t>
  </si>
  <si>
    <t xml:space="preserve">October </t>
  </si>
  <si>
    <t>November</t>
  </si>
  <si>
    <t>p207.58.g less p207.57.g</t>
  </si>
  <si>
    <t>Transmission Plant In Service</t>
  </si>
  <si>
    <t>Calculation of Intangible Plant In Service</t>
  </si>
  <si>
    <t>p204.5.b</t>
  </si>
  <si>
    <t>October</t>
  </si>
  <si>
    <t>p205.5.g</t>
  </si>
  <si>
    <t>Intangible Plant In Service</t>
  </si>
  <si>
    <t>Calculation of General Plant In Service</t>
  </si>
  <si>
    <t>p206.99.b lessp206.98.b</t>
  </si>
  <si>
    <t>p207.99.g lessp207.98.g</t>
  </si>
  <si>
    <t>General Plant In Service</t>
  </si>
  <si>
    <t>Total Plant In Service</t>
  </si>
  <si>
    <t>Accumulated Depreciation Worksheet</t>
  </si>
  <si>
    <t>Appendix III  Line #s, Descriptions, Notes, Form 1 Page #s and Instructions</t>
  </si>
  <si>
    <t>Calculation of Transmission Accumulated Depreciation</t>
  </si>
  <si>
    <t>Prior year p219.25.c</t>
  </si>
  <si>
    <t>p219.25.c</t>
  </si>
  <si>
    <t>Transmission Accumulated Depreciation</t>
  </si>
  <si>
    <t>Calculation of Intangible Accumulated Depreciation</t>
  </si>
  <si>
    <t>Prior year p200.21.c</t>
  </si>
  <si>
    <t>p200.21.c</t>
  </si>
  <si>
    <t>Accumulated Intangible Depreciation</t>
  </si>
  <si>
    <t>Calculation of General Accumulated Depreciation</t>
  </si>
  <si>
    <t>Prior year p219.28.c</t>
  </si>
  <si>
    <t>p219.28.c</t>
  </si>
  <si>
    <t>Accumulated General Depreciation</t>
  </si>
  <si>
    <t>Total Accumulated Depreciation</t>
  </si>
  <si>
    <t xml:space="preserve">Note A:  Input the value associated with the amount as if reported in FN1 consistent with the first source in the section.  </t>
  </si>
  <si>
    <t xml:space="preserve">             The source for the values is internal company records.</t>
  </si>
  <si>
    <t>Details</t>
  </si>
  <si>
    <t>Beginning of Year</t>
  </si>
  <si>
    <t>End of Year</t>
  </si>
  <si>
    <t>Average Balance</t>
  </si>
  <si>
    <t xml:space="preserve">  Account No. 255 (enter negative)  </t>
  </si>
  <si>
    <t>266.8.b &amp; 267.8.h</t>
  </si>
  <si>
    <t>Per FERC Order</t>
  </si>
  <si>
    <t xml:space="preserve">  (recovery of abandoned plant requires a FERC order approving the amount and recovery period and Attachment 11 being completed)</t>
  </si>
  <si>
    <t>Amortization of Abandoned Plant</t>
  </si>
  <si>
    <t xml:space="preserve">  Prepayments (Account 165)</t>
  </si>
  <si>
    <t xml:space="preserve">     (Prepayments exclude Prepaid Pension Assets)</t>
  </si>
  <si>
    <t>111.57.d</t>
  </si>
  <si>
    <t>(Note A)</t>
  </si>
  <si>
    <t>111.57.c</t>
  </si>
  <si>
    <t>Prepayments</t>
  </si>
  <si>
    <t>Note A:  Input the value associated with the amount as if reported in FN1 consistent with the first source in the section</t>
  </si>
  <si>
    <t>Calculation of Transmission CWIP</t>
  </si>
  <si>
    <t>Non-Incentive</t>
  </si>
  <si>
    <t>Incentive</t>
  </si>
  <si>
    <t>216.b (prior Year)</t>
  </si>
  <si>
    <t>(Note B)</t>
  </si>
  <si>
    <t>216.b</t>
  </si>
  <si>
    <t>Transmission CWIP</t>
  </si>
  <si>
    <t>Note B:  Amounts for CWIP included here must be supported in Attach 8</t>
  </si>
  <si>
    <t>Amount included</t>
  </si>
  <si>
    <t>Attach 10, line 2, column d</t>
  </si>
  <si>
    <t>126a</t>
  </si>
  <si>
    <t>Amounts for Land Held for Future Use included here must be supported in Attachment 10</t>
  </si>
  <si>
    <t>As per instruction on Attach 10, only the transmission Land Held for Future Use is Included</t>
  </si>
  <si>
    <t>Reserves</t>
  </si>
  <si>
    <t>Unfunded Reserves To Be Credited to Rate Base on Line 20 of Appendix III</t>
  </si>
  <si>
    <t>(b)</t>
  </si>
  <si>
    <t>List of all reserves from Attach 7):</t>
  </si>
  <si>
    <t>Attachment 7, line 2, col (s)</t>
  </si>
  <si>
    <t>Reserve 1</t>
  </si>
  <si>
    <t>Reserve 2</t>
  </si>
  <si>
    <t>Reserve 3</t>
  </si>
  <si>
    <t>Reserve 4</t>
  </si>
  <si>
    <t>127a</t>
  </si>
  <si>
    <t>Total  (Col. (b) ties to Attach 7, line 2, col. (s))</t>
  </si>
  <si>
    <t>EPRI Dues Cost Support</t>
  </si>
  <si>
    <t>Allocated General &amp; Common Expenses</t>
  </si>
  <si>
    <t>EPRI Dues</t>
  </si>
  <si>
    <t>EPRI &amp; EEI Costs</t>
  </si>
  <si>
    <t>EPRI and EEI dues and expenses to be excluded from the formula rate</t>
  </si>
  <si>
    <t>p353._.f (enter FN1 line #)</t>
  </si>
  <si>
    <t>128a</t>
  </si>
  <si>
    <t>List EPRI and EEI dues and expenses</t>
  </si>
  <si>
    <t>Regulatory Expense Related to Transmission Cost Support</t>
  </si>
  <si>
    <t>Form 1 Amount</t>
  </si>
  <si>
    <t>Transmission Related</t>
  </si>
  <si>
    <t>Non-transmission Related</t>
  </si>
  <si>
    <t>Details*</t>
  </si>
  <si>
    <t>Directly Assigned A&amp;G</t>
  </si>
  <si>
    <t>(Col A- Col B)</t>
  </si>
  <si>
    <t>Regulatory Commission Exp Account 928</t>
  </si>
  <si>
    <t>p323.189.b</t>
  </si>
  <si>
    <t xml:space="preserve">Column B shall be all Regulatory Commission Expenses directly related to transmission service, RTO filings, </t>
  </si>
  <si>
    <t>or transmission siting itemized at 351.h consistent with Footnote D on Appendix III</t>
  </si>
  <si>
    <t>* insert case specific detail and associated assignments here</t>
  </si>
  <si>
    <t>Multi-state Workpaper</t>
  </si>
  <si>
    <t>State 1</t>
  </si>
  <si>
    <t>State 2</t>
  </si>
  <si>
    <t>State 3</t>
  </si>
  <si>
    <t>State 4</t>
  </si>
  <si>
    <t>State 5</t>
  </si>
  <si>
    <t>Weighed Average</t>
  </si>
  <si>
    <t>Income Tax Rates</t>
  </si>
  <si>
    <t>SIT=State Income Tax Rate or Composite</t>
  </si>
  <si>
    <t>Multiple state rates are weighted based on the state apportionment factors on the state income tax returns</t>
  </si>
  <si>
    <t>Safety Related and Education and Out Reach Cost Support</t>
  </si>
  <si>
    <t>Safety Related, Education, Siting &amp; Outreach Related</t>
  </si>
  <si>
    <t>General Advertising Exp Account 930.1</t>
  </si>
  <si>
    <t>p323.191.b</t>
  </si>
  <si>
    <t xml:space="preserve">Column B shall be safety, education, siting or out-reach related advertising consistent with </t>
  </si>
  <si>
    <t>Note D on Appendix III</t>
  </si>
  <si>
    <t>Excluded Plant Cost Support</t>
  </si>
  <si>
    <t>Description of the Facilities</t>
  </si>
  <si>
    <t>Adjustment to Remove Revenue Requirements Associated with Excluded Transmission Facilities</t>
  </si>
  <si>
    <t>Excluded Transmission Facilities</t>
  </si>
  <si>
    <t>General Description of the Facilities</t>
  </si>
  <si>
    <t>132a</t>
  </si>
  <si>
    <t>Transmission plant included in OATT Ancillary Services</t>
  </si>
  <si>
    <t>Add more lines if necessary</t>
  </si>
  <si>
    <t>Materials &amp; Supplies</t>
  </si>
  <si>
    <t>Note:  for the projection, the prior year's actual balances will be used</t>
  </si>
  <si>
    <t>Stores Expense Undistributed</t>
  </si>
  <si>
    <t>Transmission Materials &amp; Supplies</t>
  </si>
  <si>
    <t xml:space="preserve"> Form No.1 page</t>
  </si>
  <si>
    <t>p227.16</t>
  </si>
  <si>
    <t>p227.8</t>
  </si>
  <si>
    <t>(Col A + Col B)</t>
  </si>
  <si>
    <t>Column b</t>
  </si>
  <si>
    <t>Company Records</t>
  </si>
  <si>
    <t>Column c</t>
  </si>
  <si>
    <t>Average                                                                          (sum of lines 133 to 145 divided by 13)</t>
  </si>
  <si>
    <t>Regulatory Asset</t>
  </si>
  <si>
    <t>Pursuant to Attachment 11</t>
  </si>
  <si>
    <t>Amortization to Account 566</t>
  </si>
  <si>
    <t>Attach 11, line 2, column h</t>
  </si>
  <si>
    <t>Input to line 33b of Appendix III</t>
  </si>
  <si>
    <t>All amortization of the Regulatory Asset is to be booked to Account 566 over</t>
  </si>
  <si>
    <t xml:space="preserve"> the period authorized by the Commission in the Docket Nos. listed below.</t>
  </si>
  <si>
    <t>13 month Average Balance of Regulatory Asset approved for Rate Base</t>
  </si>
  <si>
    <t>Attach 11, line 2, column y</t>
  </si>
  <si>
    <t>Input to line 21 of Appendix III</t>
  </si>
  <si>
    <t>Enter docket nos. for orders authorizing recovery here:</t>
  </si>
  <si>
    <t>Docket Number</t>
  </si>
  <si>
    <t>Amortization period</t>
  </si>
  <si>
    <t>8/8/2020 - 8/7/2035</t>
  </si>
  <si>
    <t>PBOPs</t>
  </si>
  <si>
    <t>Calculation of PBOP Expenses</t>
  </si>
  <si>
    <t>NextEra (and its subsidiaries that use the same PBOP actuarial study)</t>
  </si>
  <si>
    <t xml:space="preserve">Total PBOP expenses </t>
  </si>
  <si>
    <t>Labor dollars</t>
  </si>
  <si>
    <t>Cost per labor dollar</t>
  </si>
  <si>
    <t>(line 151 / Line 152)</t>
  </si>
  <si>
    <t>labor (labor not capitalized) current year</t>
  </si>
  <si>
    <t>Note C</t>
  </si>
  <si>
    <t>PBOP Expense for current year</t>
  </si>
  <si>
    <t>(line 153 * Line 154)</t>
  </si>
  <si>
    <t>PBOP Expense in all O&amp;M and A&amp;G accounts for current year</t>
  </si>
  <si>
    <t>PBOP Adjustment for Appendix III, Line 37</t>
  </si>
  <si>
    <t>(line 156 - Line 155)</t>
  </si>
  <si>
    <t xml:space="preserve">     PBOP expense adjustment      (line 157)</t>
  </si>
  <si>
    <r>
      <t>Note A:   There will be zero PBOP expenses in the  Horizon West rates until  Horizon West</t>
    </r>
    <r>
      <rPr>
        <sz val="10"/>
        <rFont val="Arial"/>
        <family val="2"/>
      </rPr>
      <t xml:space="preserve"> files for recovery of its PBOP expenses.  Line 157 removes all</t>
    </r>
    <r>
      <rPr>
        <sz val="10"/>
        <rFont val="Arial"/>
        <family val="2"/>
      </rPr>
      <t xml:space="preserve"> Horizon West or affiliate PBOP expenses in FERC Accounts 500-935. </t>
    </r>
  </si>
  <si>
    <t>Capital Structure</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</si>
  <si>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</si>
  <si>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</si>
  <si>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</si>
  <si>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</si>
  <si>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</si>
  <si>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</si>
  <si>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</si>
  <si>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</si>
  <si>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</si>
  <si>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</si>
  <si>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</si>
  <si>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</si>
  <si>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</si>
  <si>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</si>
  <si>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</si>
  <si>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</si>
  <si>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</si>
  <si>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</si>
  <si>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</si>
  <si>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t>
  </si>
  <si>
    <t>Acct 221 Bonds</t>
  </si>
  <si>
    <t>112.18.c,d</t>
  </si>
  <si>
    <t>Acct 223 Advances from Assoc. Companies</t>
  </si>
  <si>
    <t>112.20.c,d</t>
  </si>
  <si>
    <t>Acct 224 Other Long Term Debt</t>
  </si>
  <si>
    <t>112.21.c,d</t>
  </si>
  <si>
    <t>Less  Acct 222 Reacquired Debt</t>
  </si>
  <si>
    <t>112.19 c,d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</si>
  <si>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</si>
  <si>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</si>
  <si>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</si>
  <si>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</si>
  <si>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</si>
  <si>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</si>
  <si>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</si>
  <si>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</si>
  <si>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</si>
  <si>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</si>
  <si>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</si>
  <si>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</si>
  <si>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</si>
  <si>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</si>
  <si>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</si>
  <si>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</si>
  <si>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</si>
  <si>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</si>
  <si>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</si>
  <si>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</si>
  <si>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</si>
  <si>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</si>
  <si>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</si>
  <si>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</si>
  <si>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</si>
  <si>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</si>
  <si>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</si>
  <si>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</si>
  <si>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</si>
  <si>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 xml:space="preserve">Attachment 3 - Incentive ROE </t>
  </si>
  <si>
    <t xml:space="preserve">Horizon West Transmission, LLC </t>
  </si>
  <si>
    <t xml:space="preserve">Incentive ROE </t>
  </si>
  <si>
    <t>Rate Base</t>
  </si>
  <si>
    <t>Appendix III, line 30</t>
  </si>
  <si>
    <t>100 Basis Point Incentive Return</t>
  </si>
  <si>
    <t xml:space="preserve">  Long Term Debt  </t>
  </si>
  <si>
    <t>Appendix III, line 80</t>
  </si>
  <si>
    <t xml:space="preserve">  Preferred Stock </t>
  </si>
  <si>
    <t>Appendix III, line 81</t>
  </si>
  <si>
    <t xml:space="preserve">  Common Stock  Including 100 basis points    Appendix III, line 82</t>
  </si>
  <si>
    <t>Total  (sum lines 3-5)</t>
  </si>
  <si>
    <t>100 Basis Point Incentive Return multiplied by Rate Base (line 1 * line 6, col H)</t>
  </si>
  <si>
    <t>Amortized Investment Tax Credit (Appendix III, line 59)</t>
  </si>
  <si>
    <t>Return and Income Taxes with 100 basis point increase in ROE</t>
  </si>
  <si>
    <t>Sum lines 7 and 18</t>
  </si>
  <si>
    <t>Return and Income Taxes without 100 basis point increase in ROE</t>
  </si>
  <si>
    <t>Sum lines 20 and 21</t>
  </si>
  <si>
    <t>Incremental Return and Income Taxes for 100 basis point increase in ROE</t>
  </si>
  <si>
    <t>Line 19 less line 22</t>
  </si>
  <si>
    <t>Sum Of Net Plant, CWIP, Abandoned Plant And Regulatory Assets</t>
  </si>
  <si>
    <t>Carrying Charge Difference for 100 Basis point of ROE</t>
  </si>
  <si>
    <t>(Line 23 divided by line 24)</t>
  </si>
  <si>
    <t xml:space="preserve">Note 1:   No incentive may be included in the formula absent authorization from FERC.  Pursuant to the Commission-approved settlement in Docket No. ER15-2239, no ROE-related incentives may be requested for the Suncrest </t>
  </si>
  <si>
    <t xml:space="preserve">               and Estrella Projects prior to October 20, 2021. </t>
  </si>
  <si>
    <t xml:space="preserve">Note 2:  The 100 basis points is used to calculate the change in the carrying charge if an incentive is approved by the Commission and does not reflect what ultimately </t>
  </si>
  <si>
    <t xml:space="preserve">                 the Commission might approve as an incentive ROE adder for a specific transmission project.</t>
  </si>
  <si>
    <t>FERC has authorized incentives for the following projects:</t>
  </si>
  <si>
    <t>Project</t>
  </si>
  <si>
    <t>Attachment 4 - Transmission Enhancement Charge Worksheet</t>
  </si>
  <si>
    <t xml:space="preserve">Horizon West Transmission, LLC                                 </t>
  </si>
  <si>
    <t>Rev Requirement before Incentive Projects</t>
  </si>
  <si>
    <t>(Appendix III, line 65)</t>
  </si>
  <si>
    <t>Less Transmission Depreciation Expense, Abandoned Plant Amort, Reg Asset Amort, and O&amp;M</t>
  </si>
  <si>
    <t>(Appendix III, lines 40 &amp; 42 plus Appendix III, line 38)</t>
  </si>
  <si>
    <t>Net Rev Req less Depreciation expense and O&amp;M</t>
  </si>
  <si>
    <t>(Line 1 minus line 2)</t>
  </si>
  <si>
    <t xml:space="preserve">Sum Of Net Plant, CWIP, Regulatory Asset and Abandoned Plant  </t>
  </si>
  <si>
    <t>Base Fixed Charge Rate Less Depreciation/Amortization and O&amp;M (Base FCR)</t>
  </si>
  <si>
    <t>(Line 3 / line 4)</t>
  </si>
  <si>
    <t>(Attachment 3, line 25)</t>
  </si>
  <si>
    <t>Column A</t>
  </si>
  <si>
    <t>Column B</t>
  </si>
  <si>
    <t>Column C</t>
  </si>
  <si>
    <t>Column D</t>
  </si>
  <si>
    <t>Column E</t>
  </si>
  <si>
    <t>Column F</t>
  </si>
  <si>
    <t>Column G</t>
  </si>
  <si>
    <t>Column H</t>
  </si>
  <si>
    <t>Column I</t>
  </si>
  <si>
    <t>Column J</t>
  </si>
  <si>
    <t>Column K</t>
  </si>
  <si>
    <t>Column L</t>
  </si>
  <si>
    <t>Column M</t>
  </si>
  <si>
    <t>(Notes 1 and 2)</t>
  </si>
  <si>
    <t>Project Name, CAISO Identification and whether HV (200kV+) or LV (&lt;200kV)</t>
  </si>
  <si>
    <t>Useful life of project/Amort period</t>
  </si>
  <si>
    <t>Input the allowed ROE Incentive</t>
  </si>
  <si>
    <t>Line 5</t>
  </si>
  <si>
    <t>Line 6a times Col C divided by 100 basis points plus Col D</t>
  </si>
  <si>
    <t>Actual Rev Req at Base FCR</t>
  </si>
  <si>
    <t>Actual Rev Req at Increased ROE</t>
  </si>
  <si>
    <t>Incremental Rev Req at Increased ROE of Incentive Projects</t>
  </si>
  <si>
    <t>Discount</t>
  </si>
  <si>
    <t>Net Revenue</t>
  </si>
  <si>
    <t>Increased ROE (Basis Points) (Note 3)</t>
  </si>
  <si>
    <t>Base Fixed Charge Rate Less Depreciation/Amortization and O&amp;M (Base FCR (line 5))</t>
  </si>
  <si>
    <t>FCR for This Project  (Line 6 x Col C /100 + Col D)</t>
  </si>
  <si>
    <t>13 Month Balance of Investment           (Note 2)  (company records)</t>
  </si>
  <si>
    <t>Depreciation or Amortization Expense     (company records)</t>
  </si>
  <si>
    <t>Directly Assigned O&amp;M (Note 5)</t>
  </si>
  <si>
    <t>Revenue Requirement</t>
  </si>
  <si>
    <t xml:space="preserve">Col J less Col I for Incentive Projects </t>
  </si>
  <si>
    <t>(Note 4)</t>
  </si>
  <si>
    <t>Col J - Col L</t>
  </si>
  <si>
    <t>[Col D x Col F + Col G + Col H]</t>
  </si>
  <si>
    <t>(Col E x Col F + Col G + Col H)</t>
  </si>
  <si>
    <t>7a</t>
  </si>
  <si>
    <t>7b</t>
  </si>
  <si>
    <t>7c</t>
  </si>
  <si>
    <t>7d</t>
  </si>
  <si>
    <t>7e</t>
  </si>
  <si>
    <t>7f</t>
  </si>
  <si>
    <t>7g</t>
  </si>
  <si>
    <t>7h</t>
  </si>
  <si>
    <r>
      <t xml:space="preserve">Total  </t>
    </r>
    <r>
      <rPr>
        <sz val="12"/>
        <rFont val="Arial Narrow"/>
        <family val="2"/>
      </rPr>
      <t>(sum of lines 7 above)</t>
    </r>
  </si>
  <si>
    <t>Line 9 must tie to the lines above as shown</t>
  </si>
  <si>
    <t>Total of Col F ties to Line 4</t>
  </si>
  <si>
    <t xml:space="preserve">Total of Col G ties to the sum of Appendix III, lines 33b, 40 &amp; 42, col 5) </t>
  </si>
  <si>
    <t>Total of Col H ties to Appendix III, Lines 38 - line 33b</t>
  </si>
  <si>
    <t>Total of Col I ties to Line 1 Total</t>
  </si>
  <si>
    <t>Total of Col J ties to  Appendix III, Line 65</t>
  </si>
  <si>
    <t>Total of Col K ties to Appendix III, Line 66</t>
  </si>
  <si>
    <t>Total to be Charged</t>
  </si>
  <si>
    <t>Total revenue requirement associated with CAISO's High Voltage (HV; 200kV+) Transmission Access Charge</t>
  </si>
  <si>
    <t>Total revenue requirement associated with CAISO's utility service territory-specific Low Voltage (LV; &lt;200kV) Transmission Access Charge</t>
  </si>
  <si>
    <t>Note 1:  Add additional lines after line 7i for additional projects</t>
  </si>
  <si>
    <t>Note 2: Regulatory Assets, Abandoned Plant, authorized CWIP in rate base, and plant in-service shall be listed separately on lines 7 for each project</t>
  </si>
  <si>
    <t>Note 3:  No incentive may be included in the formula absent authorization from FERC</t>
  </si>
  <si>
    <t xml:space="preserve">Note 4:  The Discount in Column L is the reduction in revenue, if any, that the company agreed to, for instance, to be selected to build facilities as the result of a competitive process and equals the amount by which the </t>
  </si>
  <si>
    <t xml:space="preserve">   annual revenue requirement is reduced from the ceiling rate.  A workpaper will be provided to show the calculation of the discount.</t>
  </si>
  <si>
    <t xml:space="preserve">Note 5:  All O&amp;M will be directly assigned to each project with plant in service based on the invoiced amount per project.  The detail supporting the O&amp;M direct assignment will be provided in a workpaper and the totals shown in a Form No. 1 footnote to pages 320-323.  </t>
  </si>
  <si>
    <t xml:space="preserve">   A&amp;G will be allocated in proportion to the Transmission O&amp;M for each item in Lines 7 (not including amortization of Regulatory Asset(s) booked to Account 566).</t>
  </si>
  <si>
    <t>O&amp;M (excluding Amortization of Regulatory Assets)  (Line 11 is equal to Appendix III, line 32 - line 33 + line 33a, col 5 attributable to each project based on invoices)</t>
  </si>
  <si>
    <t>%O&amp;M                                    (Col B / total Col B)</t>
  </si>
  <si>
    <t>A&amp;G  [(Appendix III, line 34 - line 35 + lines 36 &amp; 37, col 5) * (Col C)</t>
  </si>
  <si>
    <t>O&amp;M (including A&amp;G)  (Col B + Col D)</t>
  </si>
  <si>
    <t>Total (sum lines 10 above)</t>
  </si>
  <si>
    <t>Note 6:</t>
  </si>
  <si>
    <t>Narrative step by step of how data is derived and calculated within this attachment and how Attachment 3 relates to this attachment:</t>
  </si>
  <si>
    <t>Step 1</t>
  </si>
  <si>
    <t>Lines 1-6 are sourced from  Appendix III,  Attachment 3 or calculated as set forth on each line.</t>
  </si>
  <si>
    <t>Step 2</t>
  </si>
  <si>
    <t xml:space="preserve">On lines 7, for each project (whether FERC authorized CWIP in rate base or plant in service), FERC authorized Abandoned Plant or FERC authorized Regulatory Asset, Input the data for Steps 3 to 7 </t>
  </si>
  <si>
    <t>Step 3</t>
  </si>
  <si>
    <t>On lines 7, Col A, input the name of the project</t>
  </si>
  <si>
    <t>Step 4</t>
  </si>
  <si>
    <t xml:space="preserve">On lines 7, Col B, input the useful life for projects with plant in service based on the depreciation rates set forth in Attach 9, or the amortization period approved by FERC for Abandoned Plant or Regulatory Assets </t>
  </si>
  <si>
    <t>Step 5</t>
  </si>
  <si>
    <t xml:space="preserve">Lines 7, Col C, is the increase in ROE authorized by FERC from Note 3 </t>
  </si>
  <si>
    <t>Step 6</t>
  </si>
  <si>
    <t>Lines 7, Col D, is the Base Fixed Charge Rate from line 5  which excludes any increased ROE authorized by FERC</t>
  </si>
  <si>
    <t>Step 7</t>
  </si>
  <si>
    <t>Lines 7, Col E, calculate the Fixed Rate Charge for the line including the increased ROE authorized by FERC</t>
  </si>
  <si>
    <t>Step 8</t>
  </si>
  <si>
    <t xml:space="preserve">On Lines 7, Col F, input the 13 month balance of each Investment (defined in Note 2 as Regulatory Assets, Abandoned Plant, authorized CWIP in rate base, and plant in-service).  The total on line 8 must tie to line 4. </t>
  </si>
  <si>
    <t>Step 9</t>
  </si>
  <si>
    <t xml:space="preserve">On Lines 7, Col G, input the depreciation or amortization expense associated with each investment and the total on line 8 must tie to the sum of Appendix III, lines 33b, 40 &amp; 42, col 5 </t>
  </si>
  <si>
    <t>Step 10</t>
  </si>
  <si>
    <t xml:space="preserve">On Lines 7, Col H, input the O&amp;M from Note 5, Col E for each project with plant in service. </t>
  </si>
  <si>
    <t>Step 11</t>
  </si>
  <si>
    <t>Lines 7, Col I, calculates the revenue requirement at the Base FCR for each Investment as the sum of Cols D, F, G and H</t>
  </si>
  <si>
    <t>Step 12</t>
  </si>
  <si>
    <t>Lines 7, Col J, calculates the revenue requirement for each Investment including any increased ROE authorized by FERC as the sum of Cols E, F, G and H</t>
  </si>
  <si>
    <t>Step 13</t>
  </si>
  <si>
    <t>Lines 7, Col K, calculates the revenue related to any increased ROE authorized by FERC.</t>
  </si>
  <si>
    <t>Step 14</t>
  </si>
  <si>
    <t>On Lines 7, Col L, input the  amount by which the transmission owner  has committed to charge less than the rate in Col J, regardless of how that Discount is calculated.  For each project, the amount of the Discount will be zero or a reduction to the annual transmission revenue requirement in one or more years.   The transmission owner will include, as part of its Annual Update, (i) an explanation of the basis for any Discount, (ii) a calculation of the Discount, and (iii) any documentation needed to support the calculation of the Discount.  The amount in Column 17  above equals the amount by which the annual revenue requirement is reduced from the ceiling rate</t>
  </si>
  <si>
    <t>Step 15</t>
  </si>
  <si>
    <t>Lines 7, Col M, calculates the revenue requirement attributable to each project to be charged customers as Col J less Col L.</t>
  </si>
  <si>
    <t>Attachment 3</t>
  </si>
  <si>
    <t>Attachment 3 calculates the increase in the Fixed Charge Rate attributable to an increase in ROE of 100 basis points.  Lines 7, Col C inputs the actual increase in ROE authorized by FERC for the project.  Lines 7, Col E compute the increase in the Fixed Charge Rate associated with the increased ROE authorized by FERC for each project.  The combination of Attachment 3 and Lines 7, Cols C &amp; E, allow the formula to calculate the proper Fixed Charge Rate for each project based on the actual ROE increase for each project authorized by FERC.</t>
  </si>
  <si>
    <t>Attachment 5 - Example of True-Up Calculation</t>
  </si>
  <si>
    <t>Revenue Requirement Billed  (Note 1)</t>
  </si>
  <si>
    <t>Actual Revenue Requirement (Note 2)</t>
  </si>
  <si>
    <t>Over (Under) Recovery</t>
  </si>
  <si>
    <t>Less</t>
  </si>
  <si>
    <t>Equals</t>
  </si>
  <si>
    <t>Interest Rate on Amount of Refunds or Surcharges</t>
  </si>
  <si>
    <t>Over (Under) Recovery Plus Interest</t>
  </si>
  <si>
    <t>Monthly Interest Rate (Note 3)</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</si>
  <si>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</si>
  <si>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</si>
  <si>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</si>
  <si>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</si>
  <si>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</si>
  <si>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</si>
  <si>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</si>
  <si>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</si>
  <si>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January  through December</t>
  </si>
  <si>
    <t>Over (Under) Recovery Plus Interest Amortized and Recovered Over 12 Months</t>
  </si>
  <si>
    <t>Total Amount of True-Up Adjustment (Note 4)</t>
  </si>
  <si>
    <t xml:space="preserve">Less Over (Under) Recovery  </t>
  </si>
  <si>
    <t>Total Interest</t>
  </si>
  <si>
    <t>Notes</t>
  </si>
  <si>
    <t xml:space="preserve">1.  The Revenue Requirement Billed is input, the source are the invoices from CAISO.  The amounts do not include any true-ups, prior period adjustments, or TRBAA amounts </t>
  </si>
  <si>
    <t xml:space="preserve">2.  The Actual Revenue Requirement is input from Appendix III, line 1.  The amounts do not include any true-ups, prior period adjustments, or TRBAA amounts </t>
  </si>
  <si>
    <t>3. Then Monthly Interest Rate shall be equal to the interest rate set forth in the Protocols.</t>
  </si>
  <si>
    <t>4. The True-Up Adjustment is applied to each project prorata based its contribution to the Revenue Requirement shown in Appendix III, line 1.</t>
  </si>
  <si>
    <t>Attachment 6a - Accumulated Deferred Income Taxes (ADIT) Average Worksheet (Projection)</t>
  </si>
  <si>
    <t>(Sum Col. B, C &amp; D)</t>
  </si>
  <si>
    <t>Ln</t>
  </si>
  <si>
    <t>Item</t>
  </si>
  <si>
    <t>Plant Related</t>
  </si>
  <si>
    <t>Labor Related</t>
  </si>
  <si>
    <t>ADIT-282 (enter negative)</t>
  </si>
  <si>
    <t>Line 11</t>
  </si>
  <si>
    <t>ADIT-283 (enter negative)</t>
  </si>
  <si>
    <t>Line 16</t>
  </si>
  <si>
    <t>ADIT-190</t>
  </si>
  <si>
    <t>Line 21</t>
  </si>
  <si>
    <t>Subtotal</t>
  </si>
  <si>
    <t>Sum of Lines 1-3</t>
  </si>
  <si>
    <t>Wages &amp; Salary Allocator (sum lines 1-3 for each column)</t>
  </si>
  <si>
    <t>Appendix III, line 78</t>
  </si>
  <si>
    <t>Net Plant Allocator</t>
  </si>
  <si>
    <t>Appendix III, line 15</t>
  </si>
  <si>
    <t>Total Plant Allocator</t>
  </si>
  <si>
    <t>Projected ADIT Total</t>
  </si>
  <si>
    <t>Enter as negative Appendix III, page 2, line 17</t>
  </si>
  <si>
    <t>(c)</t>
  </si>
  <si>
    <t>(d)</t>
  </si>
  <si>
    <t>(e)</t>
  </si>
  <si>
    <t>(f)</t>
  </si>
  <si>
    <t>(g)</t>
  </si>
  <si>
    <t>Beginning Balance &amp; Monthly Changes</t>
  </si>
  <si>
    <t>Month</t>
  </si>
  <si>
    <t xml:space="preserve">Balance </t>
  </si>
  <si>
    <t>ADIT-282</t>
  </si>
  <si>
    <t>Balance-BOY (Attach 6c, Line 30)</t>
  </si>
  <si>
    <t>-</t>
  </si>
  <si>
    <t>EOY (Attach 6d, Line 30 less Line 26)</t>
  </si>
  <si>
    <t>Balance-EOY Prorated (Attach 6b, Line 14)</t>
  </si>
  <si>
    <t>ADIT 282-Total (Lines 10+11)</t>
  </si>
  <si>
    <t>ADIT-283</t>
  </si>
  <si>
    <t>Balance-BOY (Attach 6c, Line 44)</t>
  </si>
  <si>
    <t>EOY (Attach 6d, Line 44 less Line 40)</t>
  </si>
  <si>
    <t>EOY Prorated (Attach 6b, Line 28)</t>
  </si>
  <si>
    <t>ADIT 283-Total  (Lines 14+15)</t>
  </si>
  <si>
    <t>Balance-BOY (Attach 6c, Line 18)</t>
  </si>
  <si>
    <t>EOY (Attach 6d, Line 18 less Line 14)</t>
  </si>
  <si>
    <t>EOY Prorated (Attach 6b, Line 42)</t>
  </si>
  <si>
    <t>ADIT 190-Total (Lines 18+19)</t>
  </si>
  <si>
    <t>Attachment 6b - Accumulated Deferred Income Taxes (ADIT) Proration Worksheet (Projection)</t>
  </si>
  <si>
    <t>(h)</t>
  </si>
  <si>
    <t>(i)</t>
  </si>
  <si>
    <t>(j)</t>
  </si>
  <si>
    <t>(k)</t>
  </si>
  <si>
    <t>Weighting for Projection</t>
  </si>
  <si>
    <t>Beginning Balance/
Monthly Increment</t>
  </si>
  <si>
    <t>Transmission Proration
(d) x (f)</t>
  </si>
  <si>
    <t>Plant Proration
(d) x (h)</t>
  </si>
  <si>
    <t>Labor Proration
(d) x (j)</t>
  </si>
  <si>
    <r>
      <t>ADIT-282-Proration-</t>
    </r>
    <r>
      <rPr>
        <b/>
        <sz val="12"/>
        <rFont val="Arial Narrow"/>
        <family val="2"/>
      </rPr>
      <t>Note A</t>
    </r>
  </si>
  <si>
    <t>Balance (Attach 6c, Line 30)</t>
  </si>
  <si>
    <t>Increment</t>
  </si>
  <si>
    <t>ADIT 282-Prorated EOY Balance</t>
  </si>
  <si>
    <r>
      <t>ADIT-283-Proration-</t>
    </r>
    <r>
      <rPr>
        <b/>
        <sz val="12"/>
        <rFont val="Arial Narrow"/>
        <family val="2"/>
      </rPr>
      <t>Note B</t>
    </r>
  </si>
  <si>
    <t>Balance (Attach 6c, Line 44)</t>
  </si>
  <si>
    <t>ADIT 283-Prorated EOY Balance</t>
  </si>
  <si>
    <r>
      <t>ADIT-190-Proration-</t>
    </r>
    <r>
      <rPr>
        <b/>
        <sz val="12"/>
        <rFont val="Arial Narrow"/>
        <family val="2"/>
      </rPr>
      <t>Note C</t>
    </r>
  </si>
  <si>
    <t>Balance (Attach 6c, Line 18)</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</si>
  <si>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</si>
  <si>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</si>
  <si>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</si>
  <si>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</si>
  <si>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6c and 6d.</t>
  </si>
  <si>
    <t>Only amounts in ADIT-190 related to NOL carryforwards, if applicable, are subject to proration.  See Line 18 in Attach 6c and 6d.</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</si>
  <si>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</si>
  <si>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</si>
  <si>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</si>
  <si>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</si>
  <si>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</si>
  <si>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</si>
  <si>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</si>
  <si>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</si>
  <si>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</si>
  <si>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</si>
  <si>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</si>
  <si>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</si>
  <si>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</si>
  <si>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</si>
  <si>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</si>
  <si>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</si>
  <si>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</si>
  <si>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</si>
  <si>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</si>
  <si>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Property</t>
  </si>
  <si>
    <t xml:space="preserve">Subtotal - p274.b </t>
  </si>
  <si>
    <t>Instructions for Account 282:</t>
  </si>
  <si>
    <t>ADIT- 283</t>
  </si>
  <si>
    <t xml:space="preserve">Subtotal - p276.b  </t>
  </si>
  <si>
    <t>Instructions for Account 283:</t>
  </si>
  <si>
    <t>Attachment 6d - Accumulated Deferred Income Taxes (ADIT) Worksheet (End of Year)</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</si>
  <si>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</si>
  <si>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</si>
  <si>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</si>
  <si>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Depreciation Items</t>
  </si>
  <si>
    <t xml:space="preserve">Subtotal - p277.k  </t>
  </si>
  <si>
    <t>Attachment 6e - Accumulated Deferred Income Taxes (ADIT) Average Worksheet (True-Up)</t>
  </si>
  <si>
    <t>Total Plant &amp; Labor Related</t>
  </si>
  <si>
    <t>Line 14</t>
  </si>
  <si>
    <t>Line 17</t>
  </si>
  <si>
    <t>Wages &amp; Salary Allocator</t>
  </si>
  <si>
    <t>ADIT Total</t>
  </si>
  <si>
    <t>Balance-EOY (Attach 6d, Line 30 less Line 26)</t>
  </si>
  <si>
    <t>Balance-EOY-Prorated (Attach 6f, Line 14)</t>
  </si>
  <si>
    <t>Balance-EOY-Total (Lines 10+11)</t>
  </si>
  <si>
    <t>Balance-EOY (Attach 6d, Line 44 less Line 40)</t>
  </si>
  <si>
    <t>Balance-EOY-Prorated (Attach 6f, Line 28)</t>
  </si>
  <si>
    <t>Balance-EOY-Total (Lines 14+15)</t>
  </si>
  <si>
    <t>Balance-EOY (Attach 6d, Line 18 less Line 14)</t>
  </si>
  <si>
    <t>Balance-EOY-Prorated (Attach 6f, Line 42)</t>
  </si>
  <si>
    <t>Balance-EOY-Total (Lines 18+19)</t>
  </si>
  <si>
    <t>Attachment 6f - Accumulated Deferred Income Taxes (ADIT) Proration Worksheet (True-up)</t>
  </si>
  <si>
    <t>(l)</t>
  </si>
  <si>
    <t>(m)</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</si>
  <si>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</si>
  <si>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</si>
  <si>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</si>
  <si>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</si>
  <si>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</si>
  <si>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</si>
  <si>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</si>
  <si>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</si>
  <si>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</si>
  <si>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rFont val="Arial Narrow"/>
        <family val="2"/>
      </rPr>
      <t>Note A</t>
    </r>
  </si>
  <si>
    <t>Balance (Attach 4c, Line 30)</t>
  </si>
  <si>
    <r>
      <t>ADIT-283-Proration-</t>
    </r>
    <r>
      <rPr>
        <b/>
        <sz val="10"/>
        <rFont val="Arial Narrow"/>
        <family val="2"/>
      </rPr>
      <t>Note B</t>
    </r>
  </si>
  <si>
    <t>Balance (Attach 4c, Line 44)</t>
  </si>
  <si>
    <r>
      <t>ADIT-190-Proration-</t>
    </r>
    <r>
      <rPr>
        <b/>
        <sz val="10"/>
        <rFont val="Arial Narrow"/>
        <family val="2"/>
      </rPr>
      <t>Note C</t>
    </r>
  </si>
  <si>
    <t>Balance (Attach 4c, Line 18)</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</si>
  <si>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</si>
  <si>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</si>
  <si>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7 - Unfunded Reserves</t>
  </si>
  <si>
    <t xml:space="preserve">                                           Horizon West Transmission, LLC </t>
  </si>
  <si>
    <t xml:space="preserve">(c) </t>
  </si>
  <si>
    <t xml:space="preserve">(e) </t>
  </si>
  <si>
    <t>(n)</t>
  </si>
  <si>
    <t>(o)</t>
  </si>
  <si>
    <t>(p)</t>
  </si>
  <si>
    <t>(q)</t>
  </si>
  <si>
    <t xml:space="preserve">(r) </t>
  </si>
  <si>
    <t>(s)</t>
  </si>
  <si>
    <t>Subaccount No. (1)</t>
  </si>
  <si>
    <t>Item Description</t>
  </si>
  <si>
    <t>Dec. 31</t>
  </si>
  <si>
    <t>Jan. 31</t>
  </si>
  <si>
    <t>Feb. 28/29</t>
  </si>
  <si>
    <t>Mar. 31</t>
  </si>
  <si>
    <t>Apr. 30</t>
  </si>
  <si>
    <t>May 31</t>
  </si>
  <si>
    <t>Jun. 30</t>
  </si>
  <si>
    <t>Jul. 31</t>
  </si>
  <si>
    <t>Aug. 31</t>
  </si>
  <si>
    <t>Sept. 30</t>
  </si>
  <si>
    <t>Oct. 31</t>
  </si>
  <si>
    <t>Nov. 30</t>
  </si>
  <si>
    <t>Average of Columns (c) Through (o)</t>
  </si>
  <si>
    <t>×</t>
  </si>
  <si>
    <t>% Customer Funded</t>
  </si>
  <si>
    <t>% Non-Restricted</t>
  </si>
  <si>
    <t>Balance in Rate Base</t>
  </si>
  <si>
    <t>1b</t>
  </si>
  <si>
    <t>1c</t>
  </si>
  <si>
    <t>Total Company-Wide Reserves:</t>
  </si>
  <si>
    <t>Total Unfunded Reserves in Rate Base:</t>
  </si>
  <si>
    <t>Notes:</t>
  </si>
  <si>
    <r>
      <rPr>
        <sz val="8"/>
        <rFont val="Arial"/>
        <family val="2"/>
      </rPr>
      <t>Horizon West mus</t>
    </r>
    <r>
      <rPr>
        <sz val="8"/>
        <color theme="1"/>
        <rFont val="Arial"/>
        <family val="2"/>
      </rPr>
      <t>t list ALL unfunded reserves on its books by subaccount, specifically including (but not limited to) all subaccounts for FERC Account Nos. 228.1 through 228.4.  "Unfunded reserve" is defined as an accrued balance (1) created and increased by debiting an expense which is included in this formula rate; (2) in advance of an anticipated expenditure related to that expense; (3) that is not deposited in a restricted account (e.g., set aside in an escrow account) with the earnings thereon retained within that account.  Where a given reserve is only partially funded through accruals collected from customers, only the balance funded by customer collections shall serve as a rate base credit and the input in Col (q) will be less than 1.  Where the full reserve is deposited into a trust the input in Col (r) will be zero.  Where only a portion of the reserve is deposited into a trust the input in Col (r) will be the percentage of the reserve not deposited to the trust.  The source of monthly balance data is company records.</t>
    </r>
  </si>
  <si>
    <t>Attachment 8 - CWIP in Rate Base</t>
  </si>
  <si>
    <t xml:space="preserve">                                                    Horizon West Transmission, LLC</t>
  </si>
  <si>
    <t xml:space="preserve">    Horizon West Transmission, LLC</t>
  </si>
  <si>
    <t>(t)</t>
  </si>
  <si>
    <t>(u)</t>
  </si>
  <si>
    <t>Project Name</t>
  </si>
  <si>
    <t>Job ID</t>
  </si>
  <si>
    <t>Construction Start Date</t>
  </si>
  <si>
    <t>Estimated In-Service Date</t>
  </si>
  <si>
    <t>Approval Docket No.</t>
  </si>
  <si>
    <t>Average Balance of Columns (f) through (r)</t>
  </si>
  <si>
    <t>% Approved for Recovery (2)</t>
  </si>
  <si>
    <t>Rate Base Amount</t>
  </si>
  <si>
    <t>Total CWIP in Rate Base:</t>
  </si>
  <si>
    <t>General notes:  (1) Source of monthly balance data on this page is company records.</t>
  </si>
  <si>
    <t>Percentages in Column (t) may only be changed pursuant to FERC approval.</t>
  </si>
  <si>
    <r>
      <t xml:space="preserve">Attachment 9 - </t>
    </r>
    <r>
      <rPr>
        <sz val="12"/>
        <color indexed="8"/>
        <rFont val="Arial Narrow"/>
        <family val="2"/>
      </rPr>
      <t>Depreciation and Amortization Rates</t>
    </r>
    <r>
      <rPr>
        <sz val="12"/>
        <rFont val="Arial Narrow"/>
        <family val="2"/>
      </rPr>
      <t xml:space="preserve"> </t>
    </r>
  </si>
  <si>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</si>
  <si>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</si>
  <si>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</si>
  <si>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</si>
  <si>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</si>
  <si>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</si>
  <si>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</si>
  <si>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</si>
  <si>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</si>
  <si>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</si>
  <si>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</si>
  <si>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</si>
  <si>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</si>
  <si>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</si>
  <si>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</si>
  <si>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</si>
  <si>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</si>
  <si>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</si>
  <si>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</si>
  <si>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</si>
  <si>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</si>
  <si>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</si>
  <si>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</si>
  <si>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</si>
  <si>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</si>
  <si>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</si>
  <si>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</si>
  <si>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</si>
  <si>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</si>
  <si>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</si>
  <si>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t>392.3</t>
  </si>
  <si>
    <t xml:space="preserve"> Heavy Truck (7 year depreciation)</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</si>
  <si>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</si>
  <si>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</si>
  <si>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</si>
  <si>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</si>
  <si>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</si>
  <si>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</si>
  <si>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</si>
  <si>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</si>
  <si>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</si>
  <si>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</si>
  <si>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</si>
  <si>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</si>
  <si>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</si>
  <si>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</si>
  <si>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</si>
  <si>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</si>
  <si>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</si>
  <si>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</si>
  <si>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</si>
  <si>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</si>
  <si>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</si>
  <si>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 xml:space="preserve">Note 1: In the event a Contribution in Aid of Construction (CIAC) is made for a transmission facility, the transmission depreciation rates above will be weighted based on the relative amount of underlying plant booked to the accounts shown in lines 1-10 above, and the resultant weighted average depreciation rate will be used to determine the life over which to amortize the CIAC.  The life of each facility subject to a CIAC will be estimated in this manner at the time the plant is placed into service, and will not change over the life of the CIAC without FERC approval.  The combined amortization expense for all CIACs shall be the sum of each individual CIAC balance amortized over the life of each individual CIAC established in this manner. </t>
  </si>
  <si>
    <r>
      <t xml:space="preserve"> </t>
    </r>
    <r>
      <rPr>
        <sz val="12"/>
        <color indexed="8"/>
        <rFont val="Arial Narrow"/>
        <family val="2"/>
      </rPr>
      <t>These depreciation rates will not change absent the appropriate filing at FERC.</t>
    </r>
    <r>
      <rPr>
        <sz val="12"/>
        <rFont val="Arial Narrow"/>
        <family val="2"/>
      </rPr>
      <t xml:space="preserve"> </t>
    </r>
  </si>
  <si>
    <t>Attachment 10 - Land Held for Future Use</t>
  </si>
  <si>
    <t>Subaccount No.</t>
  </si>
  <si>
    <t>Item Name</t>
  </si>
  <si>
    <t>Land Held for Future Use</t>
  </si>
  <si>
    <t>Average of Columns (e) Through (q)</t>
  </si>
  <si>
    <t xml:space="preserve">Estrella </t>
  </si>
  <si>
    <t>Total Land Held for Future Use in rate base:</t>
  </si>
  <si>
    <t xml:space="preserve">General note:  Source of monthly balance data on this page is company records and only Land Held for Future Use that is included in transmission </t>
  </si>
  <si>
    <t xml:space="preserve">     specific plans may be included on this attachment.</t>
  </si>
  <si>
    <t xml:space="preserve">Attachment 11 - Regulatory Assets and Abandoned Plant </t>
  </si>
  <si>
    <t>(v)</t>
  </si>
  <si>
    <t>(w)</t>
  </si>
  <si>
    <t>(x)</t>
  </si>
  <si>
    <t>(y)</t>
  </si>
  <si>
    <t>(z)</t>
  </si>
  <si>
    <t>(aa)</t>
  </si>
  <si>
    <t>Recovery Amount Approved (1)</t>
  </si>
  <si>
    <t>÷</t>
  </si>
  <si>
    <t>Recovery Period (Months) (1)</t>
  </si>
  <si>
    <t>Monthly Amort. Expense</t>
  </si>
  <si>
    <t>Amort. Periods This Year</t>
  </si>
  <si>
    <t>Current Year Amort. Expense</t>
  </si>
  <si>
    <t>% Allocable to Formula Rate (1)</t>
  </si>
  <si>
    <t>Amort. Expense in Formula Rate</t>
  </si>
  <si>
    <t>Average Unamortized Balance (2)</t>
  </si>
  <si>
    <t>% Approved for Rate Base Treatment (1)</t>
  </si>
  <si>
    <t>Allocable to Formula Rate</t>
  </si>
  <si>
    <t>Rate Base Balance</t>
  </si>
  <si>
    <t>Internal ID or Code</t>
  </si>
  <si>
    <t>Docket No.</t>
  </si>
  <si>
    <t>Pre Commercial Costs</t>
  </si>
  <si>
    <t>ER20-2010-000</t>
  </si>
  <si>
    <t>Total Regulatory Asset and Abandoned Plant Amortization Expense:</t>
  </si>
  <si>
    <t>General Note:  The source for monthly balance data on this page are company records.  Amounts shown are total amounts.</t>
  </si>
  <si>
    <t>Total Regulatory Assets and Abandoned Plant in Rate Base:</t>
  </si>
  <si>
    <t>NOTES:</t>
  </si>
  <si>
    <t>Non-zero values in this column may only be established and changed  subject to Commission direction or approval pursuant to an appropriate §205, §206, or §219 filing.</t>
  </si>
  <si>
    <t>Average balance calculated as [sum of columns (i) through (u)] ÷13.</t>
  </si>
  <si>
    <t>Attachment 12 - Income Tax Adjustment</t>
  </si>
  <si>
    <t>Horizon West Transmission LLC</t>
  </si>
  <si>
    <t>Income Tax Adjustments</t>
  </si>
  <si>
    <t>Dec 31,</t>
  </si>
  <si>
    <t>Total Tax adjustment for Permanent Differences</t>
  </si>
  <si>
    <t>Tax Adjustment for AFUDC - Equity Depreciation</t>
  </si>
  <si>
    <t>Tax Adjustment for Equity Carrying Charges Amortization</t>
  </si>
  <si>
    <t>Tax Adjustment for Section 162 (M)</t>
  </si>
  <si>
    <t>1d</t>
  </si>
  <si>
    <t>Tax Adjustment for Meals &amp; Entertainment</t>
  </si>
  <si>
    <t>For the 12 months ended 12/31/2022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</si>
</sst>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0_);_(* \(#,##0.0000\);_(* &quot;-&quot;??_);_(@_)"/>
    <numFmt numFmtId="167" formatCode="0.00000"/>
    <numFmt numFmtId="168" formatCode="0.000%"/>
    <numFmt numFmtId="169" formatCode="#,##0.0000"/>
    <numFmt numFmtId="170" formatCode="#,##0.00000"/>
    <numFmt numFmtId="171" formatCode="0.0000"/>
    <numFmt numFmtId="172" formatCode="_(* #,##0.000_);_(* \(#,##0.000\);_(* &quot;-&quot;??_);_(@_)"/>
    <numFmt numFmtId="173" formatCode="&quot;$&quot;#,##0"/>
    <numFmt numFmtId="174" formatCode="0.000000%"/>
    <numFmt numFmtId="175" formatCode="0_);\(0\)"/>
    <numFmt numFmtId="176" formatCode="0.0%"/>
    <numFmt numFmtId="177" formatCode="0.0000%"/>
    <numFmt numFmtId="178" formatCode="_(* #,##0.0_);_(* \(#,##0.0\);_(* &quot;-&quot;??_);_(@_)"/>
    <numFmt numFmtId="179" formatCode="_(&quot;$&quot;* #,##0_);_(&quot;$&quot;* \(#,##0\);_(&quot;$&quot;* &quot;-&quot;??_);_(@_)"/>
  </numFmts>
  <fonts count="46">
    <font>
      <sz val="12"/>
      <name val="Arial MT"/>
    </font>
    <font>
      <sz val="11"/>
      <color theme="1"/>
      <name val="Calibri"/>
      <family val="2"/>
      <scheme val="minor"/>
    </font>
    <font>
      <sz val="12"/>
      <name val="Arial MT"/>
    </font>
    <font>
      <sz val="12"/>
      <name val="Arial Narrow"/>
      <family val="2"/>
    </font>
    <font>
      <strike/>
      <sz val="12"/>
      <color indexed="10"/>
      <name val="Arial Narrow"/>
      <family val="2"/>
    </font>
    <font>
      <b/>
      <sz val="12"/>
      <name val="Arial Narrow"/>
      <family val="2"/>
    </font>
    <font>
      <b/>
      <strike/>
      <sz val="12"/>
      <color rgb="FFFF0000"/>
      <name val="Arial Narrow"/>
      <family val="2"/>
    </font>
    <font>
      <sz val="10"/>
      <name val="Arial"/>
      <family val="2"/>
    </font>
    <font>
      <sz val="12"/>
      <color indexed="12"/>
      <name val="Arial MT"/>
    </font>
    <font>
      <b/>
      <sz val="12"/>
      <color rgb="FFFF0000"/>
      <name val="Arial Narrow"/>
      <family val="2"/>
    </font>
    <font>
      <sz val="12"/>
      <color indexed="12"/>
      <name val="Arial Narrow"/>
      <family val="2"/>
    </font>
    <font>
      <b/>
      <u/>
      <sz val="12"/>
      <name val="Arial Narrow"/>
      <family val="2"/>
    </font>
    <font>
      <sz val="12"/>
      <color indexed="10"/>
      <name val="Arial Narrow"/>
      <family val="2"/>
    </font>
    <font>
      <b/>
      <sz val="12"/>
      <name val="Arial MT"/>
    </font>
    <font>
      <sz val="14"/>
      <name val="Arial Narrow"/>
      <family val="2"/>
    </font>
    <font>
      <sz val="12"/>
      <color indexed="17"/>
      <name val="Arial"/>
      <family val="2"/>
    </font>
    <font>
      <sz val="12"/>
      <name val="Arial"/>
      <family val="2"/>
    </font>
    <font>
      <sz val="12"/>
      <name val="Helv"/>
    </font>
    <font>
      <sz val="10"/>
      <name val="Arial MT"/>
    </font>
    <font>
      <sz val="12"/>
      <color rgb="FFFF0000"/>
      <name val="Arial Narrow"/>
      <family val="2"/>
    </font>
    <font>
      <sz val="10"/>
      <color indexed="10"/>
      <name val="Arial"/>
      <family val="2"/>
    </font>
    <font>
      <u/>
      <sz val="12"/>
      <name val="Arial Narrow"/>
      <family val="2"/>
    </font>
    <font>
      <b/>
      <sz val="14"/>
      <name val="Arial"/>
      <family val="2"/>
    </font>
    <font>
      <b/>
      <sz val="12"/>
      <color indexed="10"/>
      <name val="Arial Narrow"/>
      <family val="2"/>
    </font>
    <font>
      <b/>
      <sz val="10"/>
      <color indexed="10"/>
      <name val="Arial"/>
      <family val="2"/>
    </font>
    <font>
      <i/>
      <sz val="10"/>
      <name val="Arial"/>
      <family val="2"/>
    </font>
    <font>
      <sz val="10"/>
      <color theme="1"/>
      <name val="Calibri"/>
      <family val="2"/>
      <scheme val="minor"/>
    </font>
    <font>
      <sz val="10"/>
      <name val="Times New Roman"/>
      <family val="1"/>
    </font>
    <font>
      <sz val="10"/>
      <color indexed="40"/>
      <name val="Times New Roman"/>
      <family val="1"/>
    </font>
    <font>
      <strike/>
      <sz val="10"/>
      <name val="Times New Roman"/>
      <family val="1"/>
    </font>
    <font>
      <sz val="12"/>
      <color rgb="FF1F497D"/>
      <name val="Arial Narrow"/>
      <family val="2"/>
    </font>
    <font>
      <sz val="12"/>
      <name val="Times New Roman"/>
      <family val="1"/>
    </font>
    <font>
      <sz val="14"/>
      <name val="Arial"/>
      <family val="2"/>
    </font>
    <font>
      <b/>
      <sz val="12"/>
      <name val="Arial"/>
      <family val="2"/>
    </font>
    <font>
      <sz val="10"/>
      <name val="Arial Narrow"/>
      <family val="2"/>
    </font>
    <font>
      <b/>
      <sz val="10"/>
      <name val="Arial Narrow"/>
      <family val="2"/>
    </font>
    <font>
      <sz val="8"/>
      <color theme="1"/>
      <name val="Arial"/>
      <family val="2"/>
    </font>
    <font>
      <b/>
      <strike/>
      <sz val="12"/>
      <color rgb="FFFF0000"/>
      <name val="Arial MT"/>
    </font>
    <font>
      <b/>
      <sz val="8"/>
      <color theme="1"/>
      <name val="Arial"/>
      <family val="2"/>
    </font>
    <font>
      <sz val="8"/>
      <name val="Arial"/>
      <family val="2"/>
    </font>
    <font>
      <sz val="12"/>
      <color theme="1"/>
      <name val="Arial Narrow"/>
      <family val="2"/>
    </font>
    <font>
      <b/>
      <sz val="12"/>
      <color theme="1"/>
      <name val="Arial Narrow"/>
      <family val="2"/>
    </font>
    <font>
      <sz val="12"/>
      <color indexed="8"/>
      <name val="Arial Narrow"/>
      <family val="2"/>
    </font>
    <font>
      <b/>
      <sz val="12"/>
      <color indexed="8"/>
      <name val="Arial Narrow"/>
      <family val="2"/>
    </font>
    <font>
      <sz val="11"/>
      <name val="Arial Narrow"/>
      <family val="2"/>
    </font>
    <font>
      <b/>
      <sz val="11"/>
      <name val="Arial Narrow"/>
      <family val="2"/>
    </font>
  </fonts>
  <fills count="12">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FFFF99"/>
        <bgColor indexed="64"/>
      </patternFill>
    </fill>
    <fill>
      <patternFill patternType="solid">
        <fgColor indexed="13"/>
        <bgColor indexed="64"/>
      </patternFill>
    </fill>
    <fill>
      <patternFill patternType="solid">
        <fgColor rgb="FFFFFF00"/>
        <bgColor indexed="64"/>
      </patternFill>
    </fill>
    <fill>
      <patternFill patternType="solid">
        <fgColor rgb="FF66CCFF"/>
        <bgColor indexed="64"/>
      </patternFill>
    </fill>
    <fill>
      <patternFill patternType="solid">
        <fgColor theme="0"/>
        <bgColor indexed="64"/>
      </patternFill>
    </fill>
    <fill>
      <patternFill patternType="solid">
        <fgColor rgb="FFFF00FF"/>
        <bgColor indexed="64"/>
      </patternFill>
    </fill>
    <fill>
      <patternFill patternType="solid">
        <fgColor rgb="FFFFC000"/>
        <bgColor indexed="64"/>
      </patternFill>
    </fill>
    <fill>
      <patternFill patternType="solid">
        <fgColor theme="9" tint="0.39997558519241921"/>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medium">
        <color indexed="64"/>
      </left>
      <right style="medium">
        <color indexed="64"/>
      </right>
      <top style="medium">
        <color indexed="64"/>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dotted">
        <color indexed="64"/>
      </bottom>
      <diagonal/>
    </border>
  </borders>
  <cellStyleXfs count="20">
    <xf numFmtId="164" fontId="0" fillId="0" borderId="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 fillId="0" borderId="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164" fontId="2" fillId="0" borderId="0" applyProtection="0"/>
    <xf numFmtId="164" fontId="2" fillId="0" borderId="0" applyProtection="0"/>
    <xf numFmtId="0" fontId="7" fillId="0" borderId="0"/>
    <xf numFmtId="0" fontId="7" fillId="0" borderId="0"/>
    <xf numFmtId="0" fontId="7" fillId="0" borderId="0"/>
    <xf numFmtId="164" fontId="2" fillId="0" borderId="0" applyProtection="0"/>
    <xf numFmtId="0" fontId="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70">
    <xf numFmtId="164" fontId="0" fillId="0" borderId="0" xfId="0"/>
    <xf numFmtId="0" fontId="3" fillId="0" borderId="0" xfId="5" applyFont="1"/>
    <xf numFmtId="0" fontId="3" fillId="0" borderId="0" xfId="5" applyFont="1" applyProtection="1">
      <protection locked="0"/>
    </xf>
    <xf numFmtId="0" fontId="3" fillId="0" borderId="0" xfId="5" applyFont="1" applyAlignment="1" applyProtection="1">
      <alignment horizontal="left"/>
      <protection locked="0"/>
    </xf>
    <xf numFmtId="0" fontId="3" fillId="0" borderId="0" xfId="5" applyFont="1" applyAlignment="1" applyProtection="1">
      <alignment horizontal="right"/>
      <protection locked="0"/>
    </xf>
    <xf numFmtId="0" fontId="2" fillId="0" borderId="0" xfId="5"/>
    <xf numFmtId="0" fontId="3" fillId="0" borderId="0" xfId="5" applyFont="1" applyAlignment="1">
      <alignment horizontal="right"/>
    </xf>
    <xf numFmtId="0" fontId="3" fillId="0" borderId="0" xfId="5" quotePrefix="1" applyFont="1" applyAlignment="1" applyProtection="1">
      <alignment horizontal="left"/>
      <protection locked="0"/>
    </xf>
    <xf numFmtId="3" fontId="3" fillId="0" borderId="0" xfId="5" applyNumberFormat="1" applyFont="1"/>
    <xf numFmtId="0" fontId="3" fillId="2" borderId="0" xfId="5" quotePrefix="1" applyFont="1" applyFill="1" applyAlignment="1" applyProtection="1">
      <alignment horizontal="right"/>
      <protection locked="0"/>
    </xf>
    <xf numFmtId="0" fontId="3" fillId="2" borderId="0" xfId="5" applyFont="1" applyFill="1" applyAlignment="1">
      <alignment horizontal="left"/>
    </xf>
    <xf numFmtId="0" fontId="3" fillId="2" borderId="0" xfId="5" applyFont="1" applyFill="1"/>
    <xf numFmtId="0" fontId="5" fillId="0" borderId="0" xfId="5" applyFont="1"/>
    <xf numFmtId="0" fontId="3" fillId="0" borderId="0" xfId="5" applyFont="1" applyAlignment="1">
      <alignment horizontal="left"/>
    </xf>
    <xf numFmtId="0" fontId="3" fillId="0" borderId="0" xfId="5" quotePrefix="1" applyFont="1" applyAlignment="1" applyProtection="1">
      <alignment horizontal="right"/>
      <protection locked="0"/>
    </xf>
    <xf numFmtId="0" fontId="3" fillId="0" borderId="0" xfId="5" applyFont="1" applyAlignment="1" applyProtection="1">
      <alignment horizontal="center"/>
      <protection locked="0"/>
    </xf>
    <xf numFmtId="164" fontId="5" fillId="0" borderId="0" xfId="0" applyFont="1"/>
    <xf numFmtId="0" fontId="6" fillId="0" borderId="0" xfId="5" applyFont="1" applyAlignment="1">
      <alignment horizontal="center"/>
    </xf>
    <xf numFmtId="164" fontId="3" fillId="0" borderId="0" xfId="0" applyFont="1" applyAlignment="1">
      <alignment horizontal="center"/>
    </xf>
    <xf numFmtId="164" fontId="5" fillId="0" borderId="0" xfId="0" applyFont="1" applyAlignment="1">
      <alignment horizontal="center"/>
    </xf>
    <xf numFmtId="164" fontId="3" fillId="0" borderId="0" xfId="0" applyFont="1"/>
    <xf numFmtId="49" fontId="3" fillId="0" borderId="0" xfId="0" applyNumberFormat="1" applyFont="1"/>
    <xf numFmtId="0" fontId="3" fillId="0" borderId="0" xfId="1" applyNumberFormat="1" applyFont="1" applyAlignment="1">
      <alignment horizontal="left"/>
    </xf>
    <xf numFmtId="49" fontId="3" fillId="0" borderId="0" xfId="5" applyNumberFormat="1" applyFont="1"/>
    <xf numFmtId="49" fontId="3" fillId="0" borderId="0" xfId="5" quotePrefix="1" applyNumberFormat="1" applyFont="1" applyAlignment="1">
      <alignment horizontal="center"/>
    </xf>
    <xf numFmtId="0" fontId="3" fillId="0" borderId="1" xfId="5" applyFont="1" applyBorder="1" applyAlignment="1" applyProtection="1">
      <alignment horizontal="center"/>
      <protection locked="0"/>
    </xf>
    <xf numFmtId="42" fontId="3" fillId="0" borderId="0" xfId="5" applyNumberFormat="1" applyFont="1"/>
    <xf numFmtId="165" fontId="3" fillId="0" borderId="0" xfId="1" applyNumberFormat="1" applyFont="1" applyFill="1"/>
    <xf numFmtId="165" fontId="3" fillId="0" borderId="0" xfId="1" applyNumberFormat="1" applyFont="1"/>
    <xf numFmtId="0" fontId="3" fillId="0" borderId="1" xfId="5" applyFont="1" applyBorder="1" applyAlignment="1" applyProtection="1">
      <alignment horizontal="centerContinuous"/>
      <protection locked="0"/>
    </xf>
    <xf numFmtId="43" fontId="3" fillId="0" borderId="0" xfId="1" applyFont="1" applyFill="1" applyAlignment="1"/>
    <xf numFmtId="166" fontId="3" fillId="0" borderId="0" xfId="1" applyNumberFormat="1" applyFont="1" applyAlignment="1"/>
    <xf numFmtId="165" fontId="3" fillId="0" borderId="0" xfId="1" applyNumberFormat="1" applyFont="1" applyAlignment="1"/>
    <xf numFmtId="3" fontId="4" fillId="0" borderId="0" xfId="5" applyNumberFormat="1" applyFont="1" applyAlignment="1">
      <alignment horizontal="right"/>
    </xf>
    <xf numFmtId="0" fontId="8" fillId="0" borderId="0" xfId="5" applyFont="1" applyAlignment="1">
      <alignment horizontal="left"/>
    </xf>
    <xf numFmtId="0" fontId="3" fillId="0" borderId="0" xfId="5" applyFont="1" applyAlignment="1">
      <alignment horizontal="left" wrapText="1"/>
    </xf>
    <xf numFmtId="165" fontId="3" fillId="3" borderId="0" xfId="1" applyNumberFormat="1" applyFont="1" applyFill="1" applyAlignment="1"/>
    <xf numFmtId="167" fontId="3" fillId="0" borderId="0" xfId="5" applyNumberFormat="1" applyFont="1"/>
    <xf numFmtId="42" fontId="3" fillId="0" borderId="2" xfId="5" applyNumberFormat="1" applyFont="1" applyBorder="1" applyAlignment="1" applyProtection="1">
      <alignment horizontal="right"/>
      <protection locked="0"/>
    </xf>
    <xf numFmtId="42" fontId="3" fillId="0" borderId="0" xfId="5" applyNumberFormat="1" applyFont="1" applyAlignment="1" applyProtection="1">
      <alignment horizontal="right"/>
      <protection locked="0"/>
    </xf>
    <xf numFmtId="3" fontId="3" fillId="0" borderId="0" xfId="5" applyNumberFormat="1" applyFont="1" applyAlignment="1">
      <alignment horizontal="fill"/>
    </xf>
    <xf numFmtId="164" fontId="6" fillId="0" borderId="0" xfId="0" applyFont="1" applyAlignment="1">
      <alignment horizontal="center"/>
    </xf>
    <xf numFmtId="3" fontId="9" fillId="0" borderId="0" xfId="5" applyNumberFormat="1" applyFont="1"/>
    <xf numFmtId="3" fontId="3" fillId="0" borderId="0" xfId="5" applyNumberFormat="1" applyFont="1" applyAlignment="1">
      <alignment horizontal="right"/>
    </xf>
    <xf numFmtId="0" fontId="3" fillId="0" borderId="0" xfId="5" applyFont="1" applyAlignment="1">
      <alignment horizontal="center"/>
    </xf>
    <xf numFmtId="49" fontId="3" fillId="0" borderId="0" xfId="5" applyNumberFormat="1" applyFont="1" applyAlignment="1">
      <alignment horizontal="center"/>
    </xf>
    <xf numFmtId="3" fontId="5" fillId="0" borderId="0" xfId="5" applyNumberFormat="1" applyFont="1" applyAlignment="1">
      <alignment horizontal="center"/>
    </xf>
    <xf numFmtId="0" fontId="5" fillId="0" borderId="0" xfId="5" applyFont="1" applyAlignment="1" applyProtection="1">
      <alignment horizontal="center"/>
      <protection locked="0"/>
    </xf>
    <xf numFmtId="0" fontId="5" fillId="0" borderId="0" xfId="5" applyFont="1" applyAlignment="1">
      <alignment horizontal="center"/>
    </xf>
    <xf numFmtId="3" fontId="5" fillId="0" borderId="0" xfId="5" applyNumberFormat="1" applyFont="1"/>
    <xf numFmtId="165" fontId="3" fillId="0" borderId="0" xfId="1" applyNumberFormat="1" applyFont="1" applyFill="1" applyAlignment="1"/>
    <xf numFmtId="3" fontId="4" fillId="0" borderId="0" xfId="5" quotePrefix="1" applyNumberFormat="1" applyFont="1" applyAlignment="1">
      <alignment horizontal="right"/>
    </xf>
    <xf numFmtId="0" fontId="4" fillId="0" borderId="0" xfId="5" applyFont="1" applyAlignment="1">
      <alignment horizontal="right"/>
    </xf>
    <xf numFmtId="0" fontId="8" fillId="0" borderId="0" xfId="5" quotePrefix="1" applyFont="1" applyAlignment="1">
      <alignment horizontal="left"/>
    </xf>
    <xf numFmtId="166" fontId="3" fillId="0" borderId="0" xfId="1" applyNumberFormat="1" applyFont="1" applyFill="1" applyAlignment="1">
      <alignment horizontal="center"/>
    </xf>
    <xf numFmtId="166" fontId="3" fillId="0" borderId="0" xfId="1" applyNumberFormat="1" applyFont="1" applyAlignment="1">
      <alignment horizontal="center"/>
    </xf>
    <xf numFmtId="168" fontId="3" fillId="0" borderId="0" xfId="5" applyNumberFormat="1" applyFont="1" applyAlignment="1">
      <alignment horizontal="center"/>
    </xf>
    <xf numFmtId="0" fontId="0" fillId="0" borderId="0" xfId="5" applyFont="1"/>
    <xf numFmtId="3" fontId="10" fillId="0" borderId="0" xfId="5" applyNumberFormat="1" applyFont="1"/>
    <xf numFmtId="166" fontId="3" fillId="0" borderId="0" xfId="1" applyNumberFormat="1" applyFont="1" applyFill="1" applyAlignment="1"/>
    <xf numFmtId="165" fontId="3" fillId="0" borderId="0" xfId="1" applyNumberFormat="1" applyFont="1" applyFill="1" applyBorder="1" applyAlignment="1"/>
    <xf numFmtId="166" fontId="3" fillId="0" borderId="0" xfId="1" applyNumberFormat="1" applyFont="1" applyFill="1" applyBorder="1" applyAlignment="1"/>
    <xf numFmtId="0" fontId="3" fillId="0" borderId="3" xfId="5" applyFont="1" applyBorder="1"/>
    <xf numFmtId="3" fontId="3" fillId="0" borderId="3" xfId="5" applyNumberFormat="1" applyFont="1" applyBorder="1"/>
    <xf numFmtId="165" fontId="3" fillId="0" borderId="3" xfId="1" applyNumberFormat="1" applyFont="1" applyFill="1" applyBorder="1" applyAlignment="1"/>
    <xf numFmtId="166" fontId="3" fillId="0" borderId="3" xfId="1" applyNumberFormat="1" applyFont="1" applyBorder="1" applyAlignment="1"/>
    <xf numFmtId="165" fontId="3" fillId="0" borderId="3" xfId="1" applyNumberFormat="1" applyFont="1" applyBorder="1" applyAlignment="1"/>
    <xf numFmtId="0" fontId="3" fillId="0" borderId="0" xfId="5" quotePrefix="1" applyFont="1" applyAlignment="1">
      <alignment horizontal="left"/>
    </xf>
    <xf numFmtId="3" fontId="3" fillId="0" borderId="0" xfId="5" applyNumberFormat="1" applyFont="1" applyAlignment="1">
      <alignment horizontal="center"/>
    </xf>
    <xf numFmtId="166" fontId="3" fillId="0" borderId="3" xfId="1" applyNumberFormat="1" applyFont="1" applyFill="1" applyBorder="1" applyAlignment="1"/>
    <xf numFmtId="165" fontId="3" fillId="0" borderId="1" xfId="1" applyNumberFormat="1" applyFont="1" applyBorder="1" applyAlignment="1"/>
    <xf numFmtId="165" fontId="3" fillId="0" borderId="2" xfId="1" applyNumberFormat="1" applyFont="1" applyBorder="1" applyAlignment="1"/>
    <xf numFmtId="165" fontId="3" fillId="0" borderId="0" xfId="1" applyNumberFormat="1" applyFont="1" applyProtection="1">
      <protection locked="0"/>
    </xf>
    <xf numFmtId="165" fontId="3" fillId="0" borderId="0" xfId="1" applyNumberFormat="1" applyFont="1" applyAlignment="1">
      <alignment horizontal="center"/>
    </xf>
    <xf numFmtId="165" fontId="5" fillId="0" borderId="0" xfId="1" applyNumberFormat="1" applyFont="1" applyAlignment="1" applyProtection="1">
      <alignment horizontal="center"/>
      <protection locked="0"/>
    </xf>
    <xf numFmtId="165" fontId="3" fillId="0" borderId="0" xfId="1" applyNumberFormat="1" applyFont="1" applyAlignment="1" applyProtection="1">
      <alignment horizontal="center"/>
      <protection locked="0"/>
    </xf>
    <xf numFmtId="0" fontId="11" fillId="0" borderId="0" xfId="5" applyFont="1" applyAlignment="1">
      <alignment horizontal="center"/>
    </xf>
    <xf numFmtId="3" fontId="11" fillId="0" borderId="0" xfId="5" applyNumberFormat="1" applyFont="1"/>
    <xf numFmtId="165" fontId="3" fillId="2" borderId="0" xfId="1" applyNumberFormat="1" applyFont="1" applyFill="1" applyAlignment="1"/>
    <xf numFmtId="3" fontId="8" fillId="0" borderId="0" xfId="5" quotePrefix="1" applyNumberFormat="1" applyFont="1" applyAlignment="1">
      <alignment horizontal="left"/>
    </xf>
    <xf numFmtId="165" fontId="3" fillId="4" borderId="0" xfId="1" applyNumberFormat="1" applyFont="1" applyFill="1" applyAlignment="1"/>
    <xf numFmtId="166" fontId="3" fillId="0" borderId="0" xfId="1" applyNumberFormat="1" applyFont="1" applyBorder="1" applyAlignment="1"/>
    <xf numFmtId="3" fontId="2" fillId="0" borderId="0" xfId="5" applyNumberFormat="1"/>
    <xf numFmtId="3" fontId="3" fillId="0" borderId="0" xfId="0" applyNumberFormat="1" applyFont="1"/>
    <xf numFmtId="3" fontId="12" fillId="0" borderId="0" xfId="0" applyNumberFormat="1" applyFont="1"/>
    <xf numFmtId="165" fontId="3" fillId="0" borderId="0" xfId="5" applyNumberFormat="1" applyFont="1"/>
    <xf numFmtId="166" fontId="3" fillId="0" borderId="0" xfId="1" applyNumberFormat="1" applyFont="1" applyFill="1" applyAlignment="1">
      <alignment horizontal="right"/>
    </xf>
    <xf numFmtId="168" fontId="3" fillId="0" borderId="0" xfId="5" applyNumberFormat="1" applyFont="1" applyAlignment="1">
      <alignment horizontal="left"/>
    </xf>
    <xf numFmtId="167" fontId="3" fillId="0" borderId="0" xfId="5" applyNumberFormat="1" applyFont="1" applyAlignment="1">
      <alignment horizontal="center"/>
    </xf>
    <xf numFmtId="10" fontId="3" fillId="0" borderId="0" xfId="5" applyNumberFormat="1" applyFont="1" applyAlignment="1">
      <alignment horizontal="left"/>
    </xf>
    <xf numFmtId="165" fontId="3" fillId="0" borderId="0" xfId="1" applyNumberFormat="1" applyFont="1" applyBorder="1" applyAlignment="1"/>
    <xf numFmtId="0" fontId="3" fillId="0" borderId="4" xfId="5" applyFont="1" applyBorder="1" applyAlignment="1" applyProtection="1">
      <alignment horizontal="center"/>
      <protection locked="0"/>
    </xf>
    <xf numFmtId="0" fontId="3" fillId="0" borderId="4" xfId="5" applyFont="1" applyBorder="1"/>
    <xf numFmtId="168" fontId="3" fillId="0" borderId="4" xfId="5" applyNumberFormat="1" applyFont="1" applyBorder="1" applyAlignment="1" applyProtection="1">
      <alignment horizontal="left"/>
      <protection locked="0"/>
    </xf>
    <xf numFmtId="165" fontId="3" fillId="0" borderId="4" xfId="1" applyNumberFormat="1" applyFont="1" applyFill="1" applyBorder="1" applyAlignment="1">
      <alignment horizontal="right"/>
    </xf>
    <xf numFmtId="3" fontId="3" fillId="0" borderId="4" xfId="5" applyNumberFormat="1" applyFont="1" applyBorder="1"/>
    <xf numFmtId="167" fontId="3" fillId="0" borderId="4" xfId="5" applyNumberFormat="1" applyFont="1" applyBorder="1"/>
    <xf numFmtId="169" fontId="3" fillId="0" borderId="4" xfId="5" applyNumberFormat="1" applyFont="1" applyBorder="1"/>
    <xf numFmtId="0" fontId="2" fillId="0" borderId="4" xfId="5" applyBorder="1"/>
    <xf numFmtId="169" fontId="3" fillId="0" borderId="0" xfId="5" applyNumberFormat="1" applyFont="1"/>
    <xf numFmtId="168" fontId="3" fillId="0" borderId="0" xfId="5" applyNumberFormat="1" applyFont="1" applyAlignment="1" applyProtection="1">
      <alignment horizontal="left"/>
      <protection locked="0"/>
    </xf>
    <xf numFmtId="43" fontId="3" fillId="0" borderId="0" xfId="1" applyFont="1" applyBorder="1" applyAlignment="1"/>
    <xf numFmtId="10" fontId="3" fillId="0" borderId="0" xfId="4" applyNumberFormat="1" applyFont="1" applyBorder="1" applyAlignment="1"/>
    <xf numFmtId="165" fontId="3" fillId="0" borderId="0" xfId="5" applyNumberFormat="1" applyFont="1" applyAlignment="1" applyProtection="1">
      <alignment horizontal="left"/>
      <protection locked="0"/>
    </xf>
    <xf numFmtId="0" fontId="9" fillId="0" borderId="0" xfId="5" applyFont="1"/>
    <xf numFmtId="0" fontId="3" fillId="0" borderId="1" xfId="5" applyFont="1" applyBorder="1" applyProtection="1">
      <protection locked="0"/>
    </xf>
    <xf numFmtId="0" fontId="3" fillId="0" borderId="1" xfId="5" applyFont="1" applyBorder="1"/>
    <xf numFmtId="3" fontId="3" fillId="0" borderId="1" xfId="5" applyNumberFormat="1" applyFont="1" applyBorder="1"/>
    <xf numFmtId="43" fontId="3" fillId="0" borderId="1" xfId="1" applyFont="1" applyFill="1" applyBorder="1" applyAlignment="1"/>
    <xf numFmtId="170" fontId="3" fillId="0" borderId="0" xfId="5" applyNumberFormat="1" applyFont="1" applyAlignment="1">
      <alignment horizontal="right"/>
    </xf>
    <xf numFmtId="3" fontId="3" fillId="0" borderId="1" xfId="5" applyNumberFormat="1" applyFont="1" applyBorder="1" applyAlignment="1">
      <alignment horizontal="center"/>
    </xf>
    <xf numFmtId="43" fontId="3" fillId="2" borderId="0" xfId="1" applyFont="1" applyFill="1" applyAlignment="1"/>
    <xf numFmtId="43" fontId="3" fillId="0" borderId="0" xfId="1" applyFont="1" applyAlignment="1"/>
    <xf numFmtId="43" fontId="3" fillId="2" borderId="1" xfId="1" applyFont="1" applyFill="1" applyBorder="1" applyAlignment="1"/>
    <xf numFmtId="4" fontId="3" fillId="0" borderId="0" xfId="5" applyNumberFormat="1" applyFont="1"/>
    <xf numFmtId="43" fontId="3" fillId="0" borderId="1" xfId="1" applyFont="1" applyBorder="1" applyAlignment="1"/>
    <xf numFmtId="3" fontId="4" fillId="0" borderId="0" xfId="5" applyNumberFormat="1" applyFont="1"/>
    <xf numFmtId="43" fontId="3" fillId="0" borderId="0" xfId="1" quotePrefix="1" applyFont="1" applyFill="1" applyAlignment="1">
      <alignment horizontal="right"/>
    </xf>
    <xf numFmtId="9" fontId="3" fillId="4" borderId="0" xfId="1" applyNumberFormat="1" applyFont="1" applyFill="1" applyAlignment="1"/>
    <xf numFmtId="171" fontId="3" fillId="0" borderId="0" xfId="5" applyNumberFormat="1" applyFont="1"/>
    <xf numFmtId="10" fontId="3" fillId="0" borderId="0" xfId="1" applyNumberFormat="1" applyFont="1" applyFill="1" applyAlignment="1"/>
    <xf numFmtId="172" fontId="3" fillId="0" borderId="0" xfId="1" applyNumberFormat="1" applyFont="1" applyAlignment="1"/>
    <xf numFmtId="3" fontId="3" fillId="0" borderId="0" xfId="5" quotePrefix="1" applyNumberFormat="1" applyFont="1"/>
    <xf numFmtId="43" fontId="3" fillId="0" borderId="1" xfId="1" quotePrefix="1" applyFont="1" applyBorder="1" applyAlignment="1">
      <alignment horizontal="right"/>
    </xf>
    <xf numFmtId="10" fontId="3" fillId="0" borderId="0" xfId="4" applyNumberFormat="1" applyFont="1" applyFill="1" applyAlignment="1"/>
    <xf numFmtId="172" fontId="3" fillId="0" borderId="1" xfId="1" applyNumberFormat="1" applyFont="1" applyBorder="1" applyAlignment="1"/>
    <xf numFmtId="164" fontId="3" fillId="0" borderId="0" xfId="5" applyNumberFormat="1" applyFont="1"/>
    <xf numFmtId="49" fontId="3" fillId="0" borderId="0" xfId="5" applyNumberFormat="1" applyFont="1" applyAlignment="1">
      <alignment horizontal="left"/>
    </xf>
    <xf numFmtId="165" fontId="3" fillId="0" borderId="0" xfId="1" applyNumberFormat="1" applyFont="1" applyFill="1" applyAlignment="1">
      <alignment horizontal="center"/>
    </xf>
    <xf numFmtId="49" fontId="3" fillId="0" borderId="0" xfId="1" applyNumberFormat="1" applyFont="1" applyFill="1" applyAlignment="1">
      <alignment horizontal="center"/>
    </xf>
    <xf numFmtId="0" fontId="3" fillId="0" borderId="0" xfId="5" applyFont="1" applyAlignment="1">
      <alignment wrapText="1"/>
    </xf>
    <xf numFmtId="3" fontId="6" fillId="0" borderId="0" xfId="5" applyNumberFormat="1" applyFont="1" applyAlignment="1">
      <alignment horizontal="center"/>
    </xf>
    <xf numFmtId="164" fontId="3" fillId="0" borderId="0" xfId="5" applyNumberFormat="1" applyFont="1" applyProtection="1">
      <protection locked="0"/>
    </xf>
    <xf numFmtId="0" fontId="3" fillId="0" borderId="0" xfId="5" applyFont="1" applyProtection="1"/>
    <xf numFmtId="3" fontId="3" fillId="0" borderId="0" xfId="5" applyNumberFormat="1" applyFont="1" applyProtection="1"/>
    <xf numFmtId="173" fontId="3" fillId="0" borderId="0" xfId="5" applyNumberFormat="1" applyFont="1" applyProtection="1">
      <protection locked="0"/>
    </xf>
    <xf numFmtId="0" fontId="14" fillId="0" borderId="0" xfId="5" applyFont="1" applyProtection="1">
      <protection locked="0"/>
    </xf>
    <xf numFmtId="168" fontId="3" fillId="2" borderId="0" xfId="1" applyNumberFormat="1" applyFont="1" applyFill="1" applyProtection="1">
      <protection locked="0"/>
    </xf>
    <xf numFmtId="168" fontId="3" fillId="0" borderId="0" xfId="4" applyNumberFormat="1" applyFont="1" applyFill="1" applyProtection="1">
      <protection locked="0"/>
    </xf>
    <xf numFmtId="174" fontId="3" fillId="0" borderId="0" xfId="5" applyNumberFormat="1" applyFont="1" applyProtection="1">
      <protection locked="0"/>
    </xf>
    <xf numFmtId="0" fontId="15" fillId="0" borderId="0" xfId="5" applyFont="1" applyAlignment="1" applyProtection="1">
      <alignment horizontal="left"/>
      <protection locked="0"/>
    </xf>
    <xf numFmtId="0" fontId="3" fillId="0" borderId="0" xfId="5" applyFont="1" applyAlignment="1" applyProtection="1">
      <alignment horizontal="center" vertical="top"/>
      <protection locked="0"/>
    </xf>
    <xf numFmtId="164" fontId="3" fillId="0" borderId="0" xfId="0" applyFont="1" applyAlignment="1">
      <alignment vertical="center"/>
    </xf>
    <xf numFmtId="0" fontId="3" fillId="0" borderId="0" xfId="0" applyNumberFormat="1" applyFont="1"/>
    <xf numFmtId="164" fontId="3" fillId="0" borderId="0" xfId="0" applyFont="1" applyAlignment="1">
      <alignment vertical="center" wrapText="1"/>
    </xf>
    <xf numFmtId="0" fontId="16" fillId="0" borderId="0" xfId="0" applyNumberFormat="1" applyFont="1"/>
    <xf numFmtId="0" fontId="17" fillId="0" borderId="0" xfId="0" applyNumberFormat="1" applyFont="1"/>
    <xf numFmtId="0" fontId="3" fillId="0" borderId="0" xfId="0" applyNumberFormat="1" applyFont="1" applyAlignment="1">
      <alignment horizontal="center"/>
    </xf>
    <xf numFmtId="0" fontId="3" fillId="0" borderId="0" xfId="5" applyFont="1" applyAlignment="1">
      <alignment horizontal="center" vertical="center"/>
    </xf>
    <xf numFmtId="0" fontId="18" fillId="0" borderId="0" xfId="5" applyFont="1"/>
    <xf numFmtId="0" fontId="3" fillId="0" borderId="0" xfId="0" applyNumberFormat="1" applyFont="1" applyAlignment="1">
      <alignment horizontal="left"/>
    </xf>
    <xf numFmtId="43" fontId="3" fillId="0" borderId="0" xfId="1" applyFont="1" applyFill="1"/>
    <xf numFmtId="174" fontId="3" fillId="0" borderId="0" xfId="4" applyNumberFormat="1" applyFont="1" applyFill="1"/>
    <xf numFmtId="43" fontId="3" fillId="0" borderId="0" xfId="0" applyNumberFormat="1" applyFont="1"/>
    <xf numFmtId="0" fontId="3" fillId="0" borderId="0" xfId="6" applyFont="1"/>
    <xf numFmtId="0" fontId="6" fillId="0" borderId="0" xfId="6" applyFont="1" applyAlignment="1">
      <alignment horizontal="center"/>
    </xf>
    <xf numFmtId="0" fontId="5" fillId="0" borderId="0" xfId="6" applyFont="1"/>
    <xf numFmtId="165" fontId="3" fillId="0" borderId="0" xfId="7" applyNumberFormat="1" applyFont="1" applyAlignment="1"/>
    <xf numFmtId="165" fontId="3" fillId="0" borderId="0" xfId="7" applyNumberFormat="1" applyFont="1" applyFill="1" applyAlignment="1"/>
    <xf numFmtId="165" fontId="3" fillId="0" borderId="0" xfId="7" applyNumberFormat="1" applyFont="1" applyFill="1" applyBorder="1" applyAlignment="1">
      <alignment wrapText="1"/>
    </xf>
    <xf numFmtId="0" fontId="3" fillId="0" borderId="0" xfId="6" applyFont="1" applyAlignment="1">
      <alignment vertical="top"/>
    </xf>
    <xf numFmtId="165" fontId="3" fillId="2" borderId="0" xfId="7" applyNumberFormat="1" applyFont="1" applyFill="1" applyAlignment="1"/>
    <xf numFmtId="0" fontId="19" fillId="0" borderId="0" xfId="6" applyFont="1"/>
    <xf numFmtId="165" fontId="3" fillId="4" borderId="0" xfId="7" applyNumberFormat="1" applyFont="1" applyFill="1" applyAlignment="1"/>
    <xf numFmtId="165" fontId="3" fillId="0" borderId="0" xfId="7" applyNumberFormat="1" applyFont="1" applyFill="1" applyBorder="1" applyAlignment="1"/>
    <xf numFmtId="165" fontId="3" fillId="0" borderId="0" xfId="7" applyNumberFormat="1" applyFont="1" applyBorder="1" applyAlignment="1"/>
    <xf numFmtId="0" fontId="3" fillId="0" borderId="0" xfId="6" applyFont="1" applyAlignment="1">
      <alignment horizontal="center"/>
    </xf>
    <xf numFmtId="0" fontId="7" fillId="0" borderId="0" xfId="6"/>
    <xf numFmtId="165" fontId="3" fillId="0" borderId="0" xfId="6" applyNumberFormat="1" applyFont="1"/>
    <xf numFmtId="0" fontId="12" fillId="0" borderId="0" xfId="6" applyFont="1"/>
    <xf numFmtId="0" fontId="20" fillId="0" borderId="0" xfId="6" applyFont="1"/>
    <xf numFmtId="165" fontId="3" fillId="0" borderId="0" xfId="7" applyNumberFormat="1" applyFont="1" applyFill="1" applyAlignment="1">
      <alignment vertical="top"/>
    </xf>
    <xf numFmtId="164" fontId="3" fillId="0" borderId="3" xfId="0" applyFont="1" applyBorder="1"/>
    <xf numFmtId="164" fontId="3" fillId="0" borderId="0" xfId="0" applyFont="1" applyAlignment="1">
      <alignment horizontal="centerContinuous"/>
    </xf>
    <xf numFmtId="164" fontId="21" fillId="0" borderId="0" xfId="0" applyFont="1" applyAlignment="1">
      <alignment horizontal="right"/>
    </xf>
    <xf numFmtId="173" fontId="3" fillId="0" borderId="0" xfId="0" applyNumberFormat="1" applyFont="1"/>
    <xf numFmtId="43" fontId="3" fillId="0" borderId="0" xfId="1" applyFont="1"/>
    <xf numFmtId="43" fontId="3" fillId="4" borderId="0" xfId="1" applyFont="1" applyFill="1"/>
    <xf numFmtId="173" fontId="3" fillId="4" borderId="0" xfId="0" applyNumberFormat="1" applyFont="1" applyFill="1"/>
    <xf numFmtId="43" fontId="3" fillId="0" borderId="3" xfId="1" applyFont="1" applyBorder="1"/>
    <xf numFmtId="43" fontId="3" fillId="0" borderId="5" xfId="1" applyFont="1" applyBorder="1"/>
    <xf numFmtId="41" fontId="3" fillId="0" borderId="0" xfId="0" applyNumberFormat="1" applyFont="1"/>
    <xf numFmtId="41" fontId="3" fillId="4" borderId="0" xfId="0" applyNumberFormat="1" applyFont="1" applyFill="1"/>
    <xf numFmtId="41" fontId="3" fillId="0" borderId="3" xfId="0" applyNumberFormat="1" applyFont="1" applyBorder="1"/>
    <xf numFmtId="173" fontId="5" fillId="0" borderId="0" xfId="0" applyNumberFormat="1" applyFont="1"/>
    <xf numFmtId="41" fontId="3" fillId="0" borderId="0" xfId="6" applyNumberFormat="1" applyFont="1"/>
    <xf numFmtId="165" fontId="3" fillId="0" borderId="0" xfId="7" applyNumberFormat="1" applyFont="1" applyFill="1" applyAlignment="1">
      <alignment horizontal="right"/>
    </xf>
    <xf numFmtId="0" fontId="3" fillId="4" borderId="0" xfId="6" applyFont="1" applyFill="1"/>
    <xf numFmtId="165" fontId="3" fillId="0" borderId="0" xfId="7" applyNumberFormat="1" applyFont="1" applyFill="1"/>
    <xf numFmtId="10" fontId="3" fillId="0" borderId="0" xfId="6" applyNumberFormat="1" applyFont="1"/>
    <xf numFmtId="0" fontId="22" fillId="0" borderId="0" xfId="6" applyFont="1"/>
    <xf numFmtId="0" fontId="23" fillId="0" borderId="0" xfId="6" applyFont="1" applyAlignment="1">
      <alignment horizontal="left"/>
    </xf>
    <xf numFmtId="0" fontId="20" fillId="5" borderId="0" xfId="6" applyFont="1" applyFill="1" applyAlignment="1">
      <alignment horizontal="center" wrapText="1"/>
    </xf>
    <xf numFmtId="0" fontId="3" fillId="0" borderId="9" xfId="6" applyFont="1" applyBorder="1" applyAlignment="1">
      <alignment horizontal="center"/>
    </xf>
    <xf numFmtId="0" fontId="11" fillId="0" borderId="0" xfId="6" applyFont="1" applyAlignment="1">
      <alignment horizontal="left"/>
    </xf>
    <xf numFmtId="0" fontId="3" fillId="0" borderId="10" xfId="6" applyFont="1" applyBorder="1" applyAlignment="1">
      <alignment horizontal="right"/>
    </xf>
    <xf numFmtId="0" fontId="24" fillId="0" borderId="0" xfId="6" applyFont="1"/>
    <xf numFmtId="0" fontId="7" fillId="0" borderId="0" xfId="6" applyAlignment="1">
      <alignment horizontal="center" wrapText="1"/>
    </xf>
    <xf numFmtId="3" fontId="3" fillId="0" borderId="0" xfId="6" applyNumberFormat="1" applyFont="1"/>
    <xf numFmtId="0" fontId="10" fillId="2" borderId="0" xfId="1" applyNumberFormat="1" applyFont="1" applyFill="1" applyBorder="1" applyAlignment="1">
      <alignment horizontal="center"/>
    </xf>
    <xf numFmtId="165" fontId="3" fillId="2" borderId="10" xfId="7" applyNumberFormat="1" applyFont="1" applyFill="1" applyBorder="1" applyAlignment="1">
      <alignment horizontal="right"/>
    </xf>
    <xf numFmtId="3" fontId="7" fillId="0" borderId="0" xfId="6" applyNumberFormat="1" applyAlignment="1">
      <alignment horizontal="right"/>
    </xf>
    <xf numFmtId="0" fontId="7" fillId="0" borderId="0" xfId="6" applyAlignment="1">
      <alignment horizontal="center"/>
    </xf>
    <xf numFmtId="3" fontId="7" fillId="0" borderId="0" xfId="6" applyNumberFormat="1" applyAlignment="1">
      <alignment horizontal="center"/>
    </xf>
    <xf numFmtId="0" fontId="3" fillId="0" borderId="0" xfId="6" applyFont="1" applyAlignment="1">
      <alignment horizontal="left"/>
    </xf>
    <xf numFmtId="0" fontId="7" fillId="0" borderId="0" xfId="6" applyAlignment="1">
      <alignment horizontal="right"/>
    </xf>
    <xf numFmtId="0" fontId="3" fillId="0" borderId="3" xfId="6" applyFont="1" applyBorder="1" applyAlignment="1">
      <alignment horizontal="left"/>
    </xf>
    <xf numFmtId="3" fontId="3" fillId="0" borderId="3" xfId="6" applyNumberFormat="1" applyFont="1" applyBorder="1"/>
    <xf numFmtId="0" fontId="10" fillId="2" borderId="3" xfId="1" applyNumberFormat="1" applyFont="1" applyFill="1" applyBorder="1" applyAlignment="1">
      <alignment horizontal="center"/>
    </xf>
    <xf numFmtId="165" fontId="3" fillId="2" borderId="11" xfId="7" applyNumberFormat="1" applyFont="1" applyFill="1" applyBorder="1" applyAlignment="1">
      <alignment horizontal="right"/>
    </xf>
    <xf numFmtId="165" fontId="7" fillId="0" borderId="0" xfId="6" applyNumberFormat="1"/>
    <xf numFmtId="0" fontId="5" fillId="0" borderId="0" xfId="6" applyFont="1" applyAlignment="1">
      <alignment horizontal="left"/>
    </xf>
    <xf numFmtId="3" fontId="10" fillId="0" borderId="0" xfId="6" applyNumberFormat="1" applyFont="1" applyAlignment="1">
      <alignment horizontal="center"/>
    </xf>
    <xf numFmtId="165" fontId="3" fillId="0" borderId="10" xfId="7" applyNumberFormat="1" applyFont="1" applyFill="1" applyBorder="1" applyAlignment="1">
      <alignment horizontal="right"/>
    </xf>
    <xf numFmtId="165" fontId="7" fillId="0" borderId="0" xfId="6" applyNumberFormat="1" applyAlignment="1">
      <alignment horizontal="right"/>
    </xf>
    <xf numFmtId="165" fontId="10" fillId="0" borderId="0" xfId="1" applyNumberFormat="1" applyFont="1" applyFill="1" applyBorder="1" applyAlignment="1">
      <alignment horizontal="center"/>
    </xf>
    <xf numFmtId="0" fontId="3" fillId="0" borderId="10" xfId="6" applyFont="1" applyBorder="1" applyAlignment="1">
      <alignment horizontal="left"/>
    </xf>
    <xf numFmtId="165" fontId="3" fillId="0" borderId="0" xfId="1" applyNumberFormat="1" applyFont="1" applyBorder="1" applyAlignment="1">
      <alignment horizontal="center"/>
    </xf>
    <xf numFmtId="0" fontId="3" fillId="0" borderId="10" xfId="6" applyFont="1" applyBorder="1"/>
    <xf numFmtId="165" fontId="7" fillId="0" borderId="0" xfId="7" applyNumberFormat="1" applyFont="1" applyBorder="1" applyAlignment="1"/>
    <xf numFmtId="165" fontId="10" fillId="0" borderId="0" xfId="1" applyNumberFormat="1" applyFont="1" applyBorder="1" applyAlignment="1">
      <alignment horizontal="center"/>
    </xf>
    <xf numFmtId="0" fontId="10" fillId="0" borderId="0" xfId="6" applyFont="1" applyAlignment="1">
      <alignment horizontal="center"/>
    </xf>
    <xf numFmtId="165" fontId="3" fillId="0" borderId="10" xfId="7" applyNumberFormat="1" applyFont="1" applyBorder="1" applyAlignment="1">
      <alignment horizontal="right"/>
    </xf>
    <xf numFmtId="165" fontId="7" fillId="0" borderId="0" xfId="7" applyNumberFormat="1" applyFont="1" applyFill="1" applyBorder="1" applyAlignment="1">
      <alignment horizontal="right"/>
    </xf>
    <xf numFmtId="0" fontId="3" fillId="0" borderId="12" xfId="6" applyFont="1" applyBorder="1" applyAlignment="1">
      <alignment horizontal="center"/>
    </xf>
    <xf numFmtId="0" fontId="3" fillId="0" borderId="1" xfId="6" applyFont="1" applyBorder="1" applyAlignment="1">
      <alignment horizontal="center"/>
    </xf>
    <xf numFmtId="0" fontId="3" fillId="0" borderId="1" xfId="6" applyFont="1" applyBorder="1" applyAlignment="1">
      <alignment horizontal="left"/>
    </xf>
    <xf numFmtId="0" fontId="3" fillId="0" borderId="1" xfId="6" applyFont="1" applyBorder="1"/>
    <xf numFmtId="0" fontId="10" fillId="0" borderId="1" xfId="6" applyFont="1" applyBorder="1" applyAlignment="1">
      <alignment horizontal="center"/>
    </xf>
    <xf numFmtId="0" fontId="3" fillId="0" borderId="13" xfId="6" applyFont="1" applyBorder="1" applyAlignment="1">
      <alignment horizontal="left"/>
    </xf>
    <xf numFmtId="0" fontId="23" fillId="0" borderId="9" xfId="6" applyFont="1" applyBorder="1" applyAlignment="1">
      <alignment horizontal="left"/>
    </xf>
    <xf numFmtId="3" fontId="3" fillId="0" borderId="10" xfId="6" applyNumberFormat="1" applyFont="1" applyBorder="1" applyAlignment="1">
      <alignment horizontal="left"/>
    </xf>
    <xf numFmtId="0" fontId="25" fillId="0" borderId="0" xfId="6" applyFont="1"/>
    <xf numFmtId="10" fontId="7" fillId="0" borderId="0" xfId="6" applyNumberFormat="1"/>
    <xf numFmtId="165" fontId="3" fillId="0" borderId="0" xfId="7" applyNumberFormat="1" applyFont="1" applyFill="1" applyBorder="1" applyAlignment="1">
      <alignment horizontal="right"/>
    </xf>
    <xf numFmtId="0" fontId="3" fillId="0" borderId="0" xfId="6" applyFont="1" applyAlignment="1">
      <alignment horizontal="center" wrapText="1"/>
    </xf>
    <xf numFmtId="0" fontId="23" fillId="5" borderId="15" xfId="6" applyFont="1" applyFill="1" applyBorder="1" applyAlignment="1">
      <alignment horizontal="center" wrapText="1"/>
    </xf>
    <xf numFmtId="0" fontId="3" fillId="0" borderId="6" xfId="6" applyFont="1" applyBorder="1" applyAlignment="1">
      <alignment horizontal="center"/>
    </xf>
    <xf numFmtId="0" fontId="3" fillId="0" borderId="7" xfId="6" applyFont="1" applyBorder="1" applyAlignment="1">
      <alignment horizontal="center"/>
    </xf>
    <xf numFmtId="0" fontId="5" fillId="0" borderId="7" xfId="6" applyFont="1" applyBorder="1" applyAlignment="1">
      <alignment horizontal="left"/>
    </xf>
    <xf numFmtId="0" fontId="10" fillId="0" borderId="7" xfId="6" applyFont="1" applyBorder="1"/>
    <xf numFmtId="165" fontId="3" fillId="0" borderId="6" xfId="7" applyNumberFormat="1" applyFont="1" applyFill="1" applyBorder="1"/>
    <xf numFmtId="165" fontId="3" fillId="0" borderId="7" xfId="7" applyNumberFormat="1" applyFont="1" applyFill="1" applyBorder="1" applyAlignment="1">
      <alignment horizontal="center"/>
    </xf>
    <xf numFmtId="165" fontId="5" fillId="0" borderId="7" xfId="7" applyNumberFormat="1" applyFont="1" applyFill="1" applyBorder="1"/>
    <xf numFmtId="0" fontId="23" fillId="0" borderId="7" xfId="6" applyFont="1" applyBorder="1" applyAlignment="1">
      <alignment horizontal="center" wrapText="1"/>
    </xf>
    <xf numFmtId="0" fontId="3" fillId="0" borderId="7" xfId="6" applyFont="1" applyBorder="1" applyAlignment="1">
      <alignment horizontal="center" wrapText="1"/>
    </xf>
    <xf numFmtId="0" fontId="3" fillId="0" borderId="8" xfId="6" applyFont="1" applyBorder="1" applyAlignment="1">
      <alignment horizontal="center" wrapText="1"/>
    </xf>
    <xf numFmtId="0" fontId="3" fillId="0" borderId="9" xfId="5" applyFont="1" applyBorder="1" applyAlignment="1" applyProtection="1">
      <alignment horizontal="center"/>
      <protection locked="0"/>
    </xf>
    <xf numFmtId="165" fontId="3" fillId="2" borderId="0" xfId="7" applyNumberFormat="1" applyFont="1" applyFill="1" applyBorder="1" applyAlignment="1">
      <alignment horizontal="right"/>
    </xf>
    <xf numFmtId="165" fontId="3" fillId="0" borderId="9" xfId="1" applyNumberFormat="1" applyFont="1" applyFill="1" applyBorder="1" applyAlignment="1"/>
    <xf numFmtId="170" fontId="3" fillId="0" borderId="0" xfId="5" applyNumberFormat="1" applyFont="1"/>
    <xf numFmtId="0" fontId="10" fillId="0" borderId="10" xfId="5" applyFont="1" applyBorder="1"/>
    <xf numFmtId="43" fontId="3" fillId="2" borderId="0" xfId="1" applyFont="1" applyFill="1" applyBorder="1" applyAlignment="1">
      <alignment horizontal="right"/>
    </xf>
    <xf numFmtId="43" fontId="3" fillId="0" borderId="9" xfId="1" applyFont="1" applyFill="1" applyBorder="1" applyAlignment="1"/>
    <xf numFmtId="43" fontId="3" fillId="4" borderId="0" xfId="1" applyFont="1" applyFill="1" applyBorder="1" applyAlignment="1"/>
    <xf numFmtId="0" fontId="3" fillId="0" borderId="0" xfId="6" applyFont="1" applyAlignment="1">
      <alignment horizontal="right"/>
    </xf>
    <xf numFmtId="3" fontId="3" fillId="0" borderId="9" xfId="5" applyNumberFormat="1" applyFont="1" applyBorder="1"/>
    <xf numFmtId="165" fontId="3" fillId="2" borderId="10" xfId="7" applyNumberFormat="1" applyFont="1" applyFill="1" applyBorder="1" applyAlignment="1"/>
    <xf numFmtId="165" fontId="3" fillId="2" borderId="11" xfId="7" applyNumberFormat="1" applyFont="1" applyFill="1" applyBorder="1" applyAlignment="1"/>
    <xf numFmtId="0" fontId="10" fillId="0" borderId="0" xfId="6" applyFont="1"/>
    <xf numFmtId="165" fontId="3" fillId="0" borderId="9" xfId="7" applyNumberFormat="1" applyFont="1" applyFill="1" applyBorder="1"/>
    <xf numFmtId="165" fontId="3" fillId="0" borderId="0" xfId="7" applyNumberFormat="1" applyFont="1" applyFill="1" applyBorder="1" applyAlignment="1">
      <alignment horizontal="center"/>
    </xf>
    <xf numFmtId="165" fontId="5" fillId="0" borderId="0" xfId="7" applyNumberFormat="1" applyFont="1" applyFill="1" applyBorder="1"/>
    <xf numFmtId="0" fontId="23" fillId="0" borderId="0" xfId="6" applyFont="1" applyAlignment="1">
      <alignment horizontal="center" wrapText="1"/>
    </xf>
    <xf numFmtId="0" fontId="3" fillId="0" borderId="10" xfId="6" applyFont="1" applyBorder="1" applyAlignment="1">
      <alignment horizontal="center" wrapText="1"/>
    </xf>
    <xf numFmtId="0" fontId="11" fillId="0" borderId="7" xfId="6" applyFont="1" applyBorder="1" applyAlignment="1">
      <alignment horizontal="left"/>
    </xf>
    <xf numFmtId="0" fontId="3" fillId="0" borderId="7" xfId="6" applyFont="1" applyBorder="1"/>
    <xf numFmtId="0" fontId="3" fillId="0" borderId="7" xfId="6" applyFont="1" applyBorder="1" applyAlignment="1">
      <alignment horizontal="right"/>
    </xf>
    <xf numFmtId="165" fontId="3" fillId="0" borderId="6" xfId="0" applyNumberFormat="1" applyFont="1" applyBorder="1" applyAlignment="1" applyProtection="1">
      <alignment horizontal="center" wrapText="1"/>
    </xf>
    <xf numFmtId="165" fontId="3" fillId="0" borderId="7" xfId="0" applyNumberFormat="1" applyFont="1" applyBorder="1" applyAlignment="1" applyProtection="1">
      <alignment horizontal="center" wrapText="1"/>
    </xf>
    <xf numFmtId="0" fontId="5" fillId="0" borderId="7" xfId="6" applyFont="1" applyBorder="1" applyAlignment="1">
      <alignment horizontal="center" wrapText="1"/>
    </xf>
    <xf numFmtId="175" fontId="10" fillId="2" borderId="0" xfId="1" applyNumberFormat="1" applyFont="1" applyFill="1" applyBorder="1" applyAlignment="1">
      <alignment horizontal="center"/>
    </xf>
    <xf numFmtId="165" fontId="3" fillId="2" borderId="0" xfId="7" applyNumberFormat="1" applyFont="1" applyFill="1" applyBorder="1" applyAlignment="1"/>
    <xf numFmtId="165" fontId="3" fillId="2" borderId="9" xfId="7" applyNumberFormat="1" applyFont="1" applyFill="1" applyBorder="1" applyAlignment="1"/>
    <xf numFmtId="41" fontId="26" fillId="0" borderId="0" xfId="0" applyNumberFormat="1" applyFont="1"/>
    <xf numFmtId="165" fontId="7" fillId="2" borderId="10" xfId="7" applyNumberFormat="1" applyFont="1" applyFill="1" applyBorder="1" applyAlignment="1"/>
    <xf numFmtId="165" fontId="7" fillId="2" borderId="9" xfId="7" applyNumberFormat="1" applyFont="1" applyFill="1" applyBorder="1" applyAlignment="1"/>
    <xf numFmtId="175" fontId="10" fillId="2" borderId="3" xfId="1" applyNumberFormat="1" applyFont="1" applyFill="1" applyBorder="1" applyAlignment="1">
      <alignment horizontal="center"/>
    </xf>
    <xf numFmtId="165" fontId="7" fillId="2" borderId="11" xfId="7" applyNumberFormat="1" applyFont="1" applyFill="1" applyBorder="1" applyAlignment="1"/>
    <xf numFmtId="165" fontId="7" fillId="2" borderId="17" xfId="7" applyNumberFormat="1" applyFont="1" applyFill="1" applyBorder="1" applyAlignment="1"/>
    <xf numFmtId="165" fontId="3" fillId="2" borderId="3" xfId="7" applyNumberFormat="1" applyFont="1" applyFill="1" applyBorder="1" applyAlignment="1"/>
    <xf numFmtId="165" fontId="3" fillId="0" borderId="9" xfId="7" applyNumberFormat="1" applyFont="1" applyFill="1" applyBorder="1" applyAlignment="1">
      <alignment horizontal="right"/>
    </xf>
    <xf numFmtId="164" fontId="3" fillId="0" borderId="1" xfId="0" applyFont="1" applyBorder="1"/>
    <xf numFmtId="0" fontId="10" fillId="0" borderId="1" xfId="6" applyFont="1" applyBorder="1"/>
    <xf numFmtId="165" fontId="3" fillId="0" borderId="12" xfId="7" applyNumberFormat="1" applyFont="1" applyFill="1" applyBorder="1"/>
    <xf numFmtId="165" fontId="3" fillId="0" borderId="1" xfId="7" applyNumberFormat="1" applyFont="1" applyFill="1" applyBorder="1" applyAlignment="1">
      <alignment horizontal="center"/>
    </xf>
    <xf numFmtId="165" fontId="5" fillId="0" borderId="1" xfId="7" applyNumberFormat="1" applyFont="1" applyFill="1" applyBorder="1"/>
    <xf numFmtId="0" fontId="23" fillId="0" borderId="1" xfId="6" applyFont="1" applyBorder="1" applyAlignment="1">
      <alignment horizontal="center" wrapText="1"/>
    </xf>
    <xf numFmtId="0" fontId="3" fillId="0" borderId="1" xfId="6" applyFont="1" applyBorder="1" applyAlignment="1">
      <alignment horizontal="center" wrapText="1"/>
    </xf>
    <xf numFmtId="0" fontId="3" fillId="0" borderId="13" xfId="6" applyFont="1" applyBorder="1" applyAlignment="1">
      <alignment horizontal="center" wrapText="1"/>
    </xf>
    <xf numFmtId="165" fontId="3" fillId="0" borderId="0" xfId="7" applyNumberFormat="1" applyFont="1" applyFill="1" applyBorder="1"/>
    <xf numFmtId="0" fontId="3" fillId="0" borderId="13" xfId="6" applyFont="1" applyBorder="1" applyAlignment="1">
      <alignment horizontal="left" wrapText="1"/>
    </xf>
    <xf numFmtId="165" fontId="3" fillId="0" borderId="1" xfId="7" applyNumberFormat="1" applyFont="1" applyFill="1" applyBorder="1"/>
    <xf numFmtId="0" fontId="23" fillId="5" borderId="6" xfId="6" applyFont="1" applyFill="1" applyBorder="1" applyAlignment="1">
      <alignment horizontal="center" wrapText="1"/>
    </xf>
    <xf numFmtId="0" fontId="23" fillId="5" borderId="7" xfId="6" applyFont="1" applyFill="1" applyBorder="1" applyAlignment="1">
      <alignment horizontal="center" wrapText="1"/>
    </xf>
    <xf numFmtId="43" fontId="3" fillId="0" borderId="9" xfId="1" applyFont="1" applyFill="1" applyBorder="1"/>
    <xf numFmtId="0" fontId="23" fillId="0" borderId="0" xfId="6" applyFont="1" applyAlignment="1">
      <alignment horizontal="center"/>
    </xf>
    <xf numFmtId="0" fontId="3" fillId="0" borderId="9" xfId="6" applyFont="1" applyBorder="1"/>
    <xf numFmtId="0" fontId="3" fillId="0" borderId="1" xfId="6" applyFont="1" applyBorder="1" applyAlignment="1">
      <alignment horizontal="left" wrapText="1"/>
    </xf>
    <xf numFmtId="3" fontId="3" fillId="0" borderId="0" xfId="6" applyNumberFormat="1" applyFont="1" applyAlignment="1">
      <alignment horizontal="center"/>
    </xf>
    <xf numFmtId="49" fontId="3" fillId="0" borderId="0" xfId="6" applyNumberFormat="1" applyFont="1"/>
    <xf numFmtId="3" fontId="3" fillId="0" borderId="0" xfId="6" applyNumberFormat="1" applyFont="1" applyAlignment="1">
      <alignment horizontal="center" wrapText="1"/>
    </xf>
    <xf numFmtId="0" fontId="27" fillId="0" borderId="0" xfId="0" applyNumberFormat="1" applyFont="1" applyAlignment="1">
      <alignment horizontal="center"/>
    </xf>
    <xf numFmtId="164" fontId="27" fillId="0" borderId="0" xfId="0" applyFont="1" applyAlignment="1">
      <alignment horizontal="left"/>
    </xf>
    <xf numFmtId="44" fontId="27" fillId="0" borderId="0" xfId="0" applyNumberFormat="1" applyFont="1"/>
    <xf numFmtId="164" fontId="27" fillId="0" borderId="0" xfId="0" applyFont="1"/>
    <xf numFmtId="164" fontId="3" fillId="0" borderId="10" xfId="0" applyFont="1" applyBorder="1"/>
    <xf numFmtId="164" fontId="27" fillId="0" borderId="0" xfId="0" applyFont="1" applyAlignment="1">
      <alignment horizontal="center"/>
    </xf>
    <xf numFmtId="0" fontId="27" fillId="0" borderId="0" xfId="6" applyFont="1"/>
    <xf numFmtId="0" fontId="27" fillId="0" borderId="0" xfId="6" applyFont="1" applyAlignment="1">
      <alignment horizontal="center" wrapText="1"/>
    </xf>
    <xf numFmtId="3" fontId="27" fillId="0" borderId="0" xfId="6" applyNumberFormat="1" applyFont="1" applyAlignment="1">
      <alignment horizontal="center" wrapText="1"/>
    </xf>
    <xf numFmtId="0" fontId="27" fillId="4" borderId="0" xfId="6" applyFont="1" applyFill="1"/>
    <xf numFmtId="165" fontId="27" fillId="0" borderId="0" xfId="1" applyNumberFormat="1" applyFont="1" applyFill="1" applyBorder="1" applyAlignment="1">
      <alignment horizontal="center" wrapText="1"/>
    </xf>
    <xf numFmtId="165" fontId="27" fillId="0" borderId="0" xfId="1" applyNumberFormat="1" applyFont="1" applyFill="1" applyBorder="1" applyAlignment="1">
      <alignment horizontal="center"/>
    </xf>
    <xf numFmtId="164" fontId="28" fillId="0" borderId="0" xfId="0" applyFont="1"/>
    <xf numFmtId="165" fontId="27" fillId="0" borderId="0" xfId="1" applyNumberFormat="1" applyFont="1" applyFill="1" applyBorder="1"/>
    <xf numFmtId="0" fontId="27" fillId="4" borderId="3" xfId="6" applyFont="1" applyFill="1" applyBorder="1"/>
    <xf numFmtId="165" fontId="27" fillId="0" borderId="3" xfId="1" applyNumberFormat="1" applyFont="1" applyFill="1" applyBorder="1" applyAlignment="1">
      <alignment horizontal="center" wrapText="1"/>
    </xf>
    <xf numFmtId="0" fontId="27" fillId="0" borderId="0" xfId="6" applyFont="1" applyAlignment="1">
      <alignment horizontal="left"/>
    </xf>
    <xf numFmtId="0" fontId="29" fillId="0" borderId="0" xfId="0" applyNumberFormat="1" applyFont="1" applyAlignment="1">
      <alignment horizontal="center"/>
    </xf>
    <xf numFmtId="164" fontId="29" fillId="0" borderId="0" xfId="0" applyFont="1" applyAlignment="1">
      <alignment horizontal="center"/>
    </xf>
    <xf numFmtId="44" fontId="29" fillId="0" borderId="0" xfId="0" applyNumberFormat="1" applyFont="1"/>
    <xf numFmtId="165" fontId="3" fillId="0" borderId="0" xfId="1" applyNumberFormat="1" applyFont="1" applyFill="1" applyBorder="1" applyAlignment="1">
      <alignment horizontal="center"/>
    </xf>
    <xf numFmtId="165" fontId="3" fillId="0" borderId="0" xfId="1" applyNumberFormat="1" applyFont="1" applyFill="1" applyBorder="1" applyAlignment="1">
      <alignment horizontal="center" wrapText="1"/>
    </xf>
    <xf numFmtId="43" fontId="3" fillId="0" borderId="0" xfId="6" applyNumberFormat="1" applyFont="1" applyAlignment="1">
      <alignment horizontal="center"/>
    </xf>
    <xf numFmtId="0" fontId="23" fillId="0" borderId="6" xfId="6" applyFont="1" applyBorder="1" applyAlignment="1">
      <alignment horizontal="left"/>
    </xf>
    <xf numFmtId="0" fontId="3" fillId="0" borderId="8" xfId="6" applyFont="1" applyBorder="1"/>
    <xf numFmtId="0" fontId="23" fillId="5" borderId="0" xfId="6" applyFont="1" applyFill="1" applyAlignment="1">
      <alignment horizontal="center" wrapText="1"/>
    </xf>
    <xf numFmtId="43" fontId="3" fillId="4" borderId="0" xfId="6" applyNumberFormat="1" applyFont="1" applyFill="1" applyAlignment="1">
      <alignment horizontal="center"/>
    </xf>
    <xf numFmtId="164" fontId="3" fillId="4" borderId="0" xfId="0" applyFont="1" applyFill="1"/>
    <xf numFmtId="0" fontId="3" fillId="0" borderId="13" xfId="6" applyFont="1" applyBorder="1"/>
    <xf numFmtId="0" fontId="23" fillId="6" borderId="0" xfId="6" applyFont="1" applyFill="1" applyAlignment="1">
      <alignment horizontal="left"/>
    </xf>
    <xf numFmtId="0" fontId="3" fillId="6" borderId="0" xfId="6" applyFont="1" applyFill="1"/>
    <xf numFmtId="0" fontId="7" fillId="7" borderId="0" xfId="6" applyFill="1"/>
    <xf numFmtId="0" fontId="23" fillId="0" borderId="6" xfId="6" applyFont="1" applyBorder="1" applyAlignment="1">
      <alignment horizontal="center" wrapText="1"/>
    </xf>
    <xf numFmtId="0" fontId="5" fillId="0" borderId="9" xfId="6" applyFont="1" applyBorder="1" applyAlignment="1">
      <alignment horizontal="center"/>
    </xf>
    <xf numFmtId="3" fontId="5" fillId="0" borderId="0" xfId="6" applyNumberFormat="1" applyFont="1" applyAlignment="1">
      <alignment horizontal="center"/>
    </xf>
    <xf numFmtId="0" fontId="5" fillId="0" borderId="0" xfId="6" applyFont="1" applyAlignment="1">
      <alignment horizontal="center"/>
    </xf>
    <xf numFmtId="164" fontId="30" fillId="0" borderId="0" xfId="0" applyFont="1"/>
    <xf numFmtId="165" fontId="3" fillId="4" borderId="9" xfId="7" applyNumberFormat="1" applyFont="1" applyFill="1" applyBorder="1" applyAlignment="1">
      <alignment horizontal="right"/>
    </xf>
    <xf numFmtId="165" fontId="3" fillId="4" borderId="0" xfId="7" applyNumberFormat="1" applyFont="1" applyFill="1" applyBorder="1" applyAlignment="1">
      <alignment horizontal="right"/>
    </xf>
    <xf numFmtId="0" fontId="3" fillId="0" borderId="9" xfId="6" applyFont="1" applyBorder="1" applyAlignment="1">
      <alignment horizontal="left"/>
    </xf>
    <xf numFmtId="0" fontId="3" fillId="0" borderId="12" xfId="6" applyFont="1" applyBorder="1"/>
    <xf numFmtId="168" fontId="5" fillId="0" borderId="0" xfId="6" applyNumberFormat="1" applyFont="1" applyAlignment="1">
      <alignment horizontal="left"/>
    </xf>
    <xf numFmtId="3" fontId="3" fillId="0" borderId="10" xfId="6" applyNumberFormat="1" applyFont="1" applyBorder="1"/>
    <xf numFmtId="0" fontId="5" fillId="4" borderId="0" xfId="6" applyFont="1" applyFill="1" applyAlignment="1">
      <alignment horizontal="center"/>
    </xf>
    <xf numFmtId="0" fontId="5" fillId="2" borderId="0" xfId="6" applyFont="1" applyFill="1" applyAlignment="1">
      <alignment horizontal="center"/>
    </xf>
    <xf numFmtId="0" fontId="5" fillId="0" borderId="10" xfId="6" applyFont="1" applyBorder="1" applyAlignment="1">
      <alignment horizontal="center"/>
    </xf>
    <xf numFmtId="10" fontId="3" fillId="4" borderId="0" xfId="1" applyNumberFormat="1" applyFont="1" applyFill="1" applyBorder="1" applyAlignment="1"/>
    <xf numFmtId="168" fontId="3" fillId="2" borderId="0" xfId="8" applyNumberFormat="1" applyFont="1" applyFill="1" applyBorder="1" applyAlignment="1">
      <alignment horizontal="center"/>
    </xf>
    <xf numFmtId="9" fontId="3" fillId="2" borderId="0" xfId="8" applyFont="1" applyFill="1" applyBorder="1" applyAlignment="1">
      <alignment horizontal="center"/>
    </xf>
    <xf numFmtId="0" fontId="3" fillId="2" borderId="0" xfId="6" applyFont="1" applyFill="1" applyAlignment="1">
      <alignment horizontal="center"/>
    </xf>
    <xf numFmtId="10" fontId="3" fillId="0" borderId="0" xfId="4" applyNumberFormat="1" applyFont="1" applyFill="1" applyBorder="1" applyAlignment="1">
      <alignment horizontal="center"/>
    </xf>
    <xf numFmtId="164" fontId="3" fillId="0" borderId="1" xfId="6" applyNumberFormat="1" applyFont="1" applyBorder="1"/>
    <xf numFmtId="176" fontId="3" fillId="0" borderId="13" xfId="4" applyNumberFormat="1" applyFont="1" applyFill="1" applyBorder="1" applyAlignment="1">
      <alignment horizontal="center"/>
    </xf>
    <xf numFmtId="0" fontId="9" fillId="0" borderId="0" xfId="6" applyFont="1" applyAlignment="1">
      <alignment horizontal="left"/>
    </xf>
    <xf numFmtId="0" fontId="5" fillId="0" borderId="6" xfId="6" applyFont="1" applyBorder="1" applyAlignment="1">
      <alignment horizontal="center" wrapText="1"/>
    </xf>
    <xf numFmtId="165" fontId="3" fillId="0" borderId="0" xfId="6" applyNumberFormat="1" applyFont="1" applyAlignment="1">
      <alignment horizontal="center"/>
    </xf>
    <xf numFmtId="0" fontId="7" fillId="0" borderId="12" xfId="6" applyBorder="1"/>
    <xf numFmtId="0" fontId="7" fillId="0" borderId="1" xfId="6" applyBorder="1"/>
    <xf numFmtId="0" fontId="7" fillId="0" borderId="13" xfId="6" applyBorder="1"/>
    <xf numFmtId="165" fontId="3" fillId="0" borderId="1" xfId="6" applyNumberFormat="1" applyFont="1" applyBorder="1"/>
    <xf numFmtId="165" fontId="3" fillId="0" borderId="13" xfId="6" applyNumberFormat="1" applyFont="1" applyBorder="1"/>
    <xf numFmtId="3" fontId="5" fillId="0" borderId="0" xfId="6" applyNumberFormat="1" applyFont="1"/>
    <xf numFmtId="43" fontId="5" fillId="4" borderId="9" xfId="1" applyFont="1" applyFill="1" applyBorder="1"/>
    <xf numFmtId="0" fontId="23" fillId="0" borderId="1" xfId="6" applyFont="1" applyBorder="1"/>
    <xf numFmtId="0" fontId="23" fillId="0" borderId="0" xfId="6" applyFont="1"/>
    <xf numFmtId="0" fontId="23" fillId="5" borderId="6" xfId="6" applyFont="1" applyFill="1" applyBorder="1" applyAlignment="1">
      <alignment horizontal="left"/>
    </xf>
    <xf numFmtId="0" fontId="23" fillId="5" borderId="7" xfId="6" applyFont="1" applyFill="1" applyBorder="1" applyAlignment="1">
      <alignment horizontal="center"/>
    </xf>
    <xf numFmtId="0" fontId="3" fillId="5" borderId="7" xfId="6" applyFont="1" applyFill="1" applyBorder="1"/>
    <xf numFmtId="0" fontId="12" fillId="5" borderId="8" xfId="6" applyFont="1" applyFill="1" applyBorder="1" applyAlignment="1">
      <alignment horizontal="center" wrapText="1"/>
    </xf>
    <xf numFmtId="168" fontId="3" fillId="0" borderId="0" xfId="8" applyNumberFormat="1" applyFont="1" applyFill="1" applyBorder="1" applyAlignment="1"/>
    <xf numFmtId="165" fontId="3" fillId="0" borderId="0" xfId="7" applyNumberFormat="1" applyFont="1" applyFill="1" applyBorder="1" applyAlignment="1">
      <alignment horizontal="left"/>
    </xf>
    <xf numFmtId="0" fontId="3" fillId="0" borderId="10" xfId="6" applyFont="1" applyBorder="1" applyAlignment="1">
      <alignment horizontal="center"/>
    </xf>
    <xf numFmtId="165" fontId="10" fillId="4" borderId="0" xfId="1" applyNumberFormat="1" applyFont="1" applyFill="1" applyBorder="1" applyAlignment="1">
      <alignment horizontal="center"/>
    </xf>
    <xf numFmtId="165" fontId="3" fillId="4" borderId="0" xfId="7" applyNumberFormat="1" applyFont="1" applyFill="1" applyBorder="1" applyAlignment="1"/>
    <xf numFmtId="165" fontId="10" fillId="2" borderId="0" xfId="1" applyNumberFormat="1" applyFont="1" applyFill="1" applyBorder="1" applyAlignment="1">
      <alignment horizontal="center"/>
    </xf>
    <xf numFmtId="0" fontId="3" fillId="0" borderId="1" xfId="6" applyFont="1" applyBorder="1" applyAlignment="1">
      <alignment horizontal="right"/>
    </xf>
    <xf numFmtId="165" fontId="3" fillId="0" borderId="1" xfId="7" applyNumberFormat="1" applyFont="1" applyBorder="1"/>
    <xf numFmtId="165" fontId="5" fillId="0" borderId="1" xfId="7" applyNumberFormat="1" applyFont="1" applyBorder="1" applyAlignment="1"/>
    <xf numFmtId="165" fontId="5" fillId="0" borderId="0" xfId="7" applyNumberFormat="1" applyFont="1" applyBorder="1" applyAlignment="1"/>
    <xf numFmtId="165" fontId="3" fillId="0" borderId="0" xfId="7" applyNumberFormat="1" applyFont="1" applyBorder="1"/>
    <xf numFmtId="165" fontId="3" fillId="0" borderId="0" xfId="1" applyNumberFormat="1" applyFont="1" applyFill="1" applyBorder="1"/>
    <xf numFmtId="165" fontId="3" fillId="0" borderId="0" xfId="6" applyNumberFormat="1" applyFont="1" applyAlignment="1">
      <alignment horizontal="left"/>
    </xf>
    <xf numFmtId="165" fontId="3" fillId="0" borderId="10" xfId="6" applyNumberFormat="1" applyFont="1" applyBorder="1"/>
    <xf numFmtId="165" fontId="7" fillId="0" borderId="0" xfId="1" applyNumberFormat="1" applyFont="1" applyFill="1" applyBorder="1"/>
    <xf numFmtId="168" fontId="3" fillId="0" borderId="0" xfId="8" applyNumberFormat="1" applyFont="1" applyFill="1" applyBorder="1" applyAlignment="1">
      <alignment horizontal="left"/>
    </xf>
    <xf numFmtId="165" fontId="3" fillId="4" borderId="18" xfId="7" applyNumberFormat="1" applyFont="1" applyFill="1" applyBorder="1" applyAlignment="1">
      <alignment horizontal="left"/>
    </xf>
    <xf numFmtId="49" fontId="3" fillId="4" borderId="18" xfId="8" applyNumberFormat="1" applyFont="1" applyFill="1" applyBorder="1" applyAlignment="1">
      <alignment horizontal="left"/>
    </xf>
    <xf numFmtId="0" fontId="3" fillId="4" borderId="18" xfId="6" applyFont="1" applyFill="1" applyBorder="1"/>
    <xf numFmtId="0" fontId="5" fillId="0" borderId="1" xfId="6" applyFont="1" applyBorder="1"/>
    <xf numFmtId="165" fontId="3" fillId="4" borderId="19" xfId="7" applyNumberFormat="1" applyFont="1" applyFill="1" applyBorder="1"/>
    <xf numFmtId="165" fontId="5" fillId="4" borderId="19" xfId="7" applyNumberFormat="1" applyFont="1" applyFill="1" applyBorder="1" applyAlignment="1"/>
    <xf numFmtId="165" fontId="5" fillId="0" borderId="1" xfId="7" applyNumberFormat="1" applyFont="1" applyFill="1" applyBorder="1" applyAlignment="1"/>
    <xf numFmtId="0" fontId="12" fillId="5" borderId="7" xfId="6" applyFont="1" applyFill="1" applyBorder="1" applyAlignment="1">
      <alignment horizontal="center" wrapText="1"/>
    </xf>
    <xf numFmtId="0" fontId="11" fillId="0" borderId="0" xfId="6" applyFont="1"/>
    <xf numFmtId="1" fontId="10" fillId="0" borderId="0" xfId="6" applyNumberFormat="1" applyFont="1" applyAlignment="1">
      <alignment horizontal="center"/>
    </xf>
    <xf numFmtId="164" fontId="3" fillId="0" borderId="0" xfId="1" applyNumberFormat="1" applyFont="1" applyFill="1" applyBorder="1" applyAlignment="1">
      <alignment horizontal="right"/>
    </xf>
    <xf numFmtId="164" fontId="3" fillId="0" borderId="0" xfId="1" applyNumberFormat="1" applyFont="1" applyFill="1" applyBorder="1" applyAlignment="1"/>
    <xf numFmtId="165" fontId="3" fillId="4" borderId="0" xfId="1" applyNumberFormat="1" applyFont="1" applyFill="1" applyBorder="1" applyAlignment="1">
      <alignment horizontal="right"/>
    </xf>
    <xf numFmtId="43" fontId="3" fillId="0" borderId="0" xfId="1" applyFont="1" applyBorder="1"/>
    <xf numFmtId="164" fontId="7" fillId="8" borderId="0" xfId="9" applyFont="1" applyFill="1" applyAlignment="1">
      <alignment horizontal="left"/>
    </xf>
    <xf numFmtId="0" fontId="3" fillId="0" borderId="0" xfId="1" applyNumberFormat="1" applyFont="1" applyAlignment="1">
      <alignment horizontal="center"/>
    </xf>
    <xf numFmtId="165" fontId="19" fillId="0" borderId="0" xfId="1" applyNumberFormat="1" applyFont="1" applyFill="1" applyAlignment="1"/>
    <xf numFmtId="165" fontId="0" fillId="0" borderId="0" xfId="1" applyNumberFormat="1" applyFont="1" applyAlignment="1"/>
    <xf numFmtId="0" fontId="23" fillId="0" borderId="0" xfId="1" applyNumberFormat="1" applyFont="1" applyFill="1" applyBorder="1" applyAlignment="1">
      <alignment horizontal="left"/>
    </xf>
    <xf numFmtId="165" fontId="7" fillId="0" borderId="0" xfId="1" applyNumberFormat="1" applyFont="1"/>
    <xf numFmtId="165" fontId="23" fillId="5" borderId="0" xfId="1" applyNumberFormat="1" applyFont="1" applyFill="1" applyBorder="1" applyAlignment="1">
      <alignment horizontal="center" wrapText="1"/>
    </xf>
    <xf numFmtId="0" fontId="3" fillId="0" borderId="6" xfId="1" applyNumberFormat="1" applyFont="1" applyFill="1" applyBorder="1" applyAlignment="1">
      <alignment horizontal="center"/>
    </xf>
    <xf numFmtId="3" fontId="5" fillId="0" borderId="7" xfId="6" applyNumberFormat="1" applyFont="1" applyBorder="1" applyAlignment="1">
      <alignment horizontal="left"/>
    </xf>
    <xf numFmtId="165" fontId="3" fillId="0" borderId="7" xfId="1" applyNumberFormat="1" applyFont="1" applyFill="1" applyBorder="1"/>
    <xf numFmtId="165" fontId="3" fillId="0" borderId="7" xfId="1" applyNumberFormat="1" applyFont="1" applyFill="1" applyBorder="1" applyAlignment="1">
      <alignment horizontal="center"/>
    </xf>
    <xf numFmtId="165" fontId="3" fillId="0" borderId="7" xfId="1" applyNumberFormat="1" applyFont="1" applyBorder="1"/>
    <xf numFmtId="165" fontId="3" fillId="0" borderId="8" xfId="1" applyNumberFormat="1" applyFont="1" applyBorder="1"/>
    <xf numFmtId="0" fontId="5" fillId="0" borderId="9" xfId="1" applyNumberFormat="1" applyFont="1" applyBorder="1" applyAlignment="1">
      <alignment horizontal="center"/>
    </xf>
    <xf numFmtId="165" fontId="3" fillId="0" borderId="10" xfId="1" applyNumberFormat="1" applyFont="1" applyBorder="1" applyAlignment="1">
      <alignment horizontal="center"/>
    </xf>
    <xf numFmtId="0" fontId="3" fillId="0" borderId="9" xfId="1" applyNumberFormat="1" applyFont="1" applyBorder="1" applyAlignment="1">
      <alignment horizontal="center"/>
    </xf>
    <xf numFmtId="0" fontId="5" fillId="0" borderId="17" xfId="1" applyNumberFormat="1" applyFont="1" applyBorder="1" applyAlignment="1">
      <alignment horizontal="center"/>
    </xf>
    <xf numFmtId="164" fontId="5" fillId="0" borderId="3" xfId="0" applyFont="1" applyBorder="1" applyAlignment="1">
      <alignment horizontal="center"/>
    </xf>
    <xf numFmtId="165" fontId="5" fillId="0" borderId="3" xfId="1" applyNumberFormat="1" applyFont="1" applyFill="1" applyBorder="1" applyAlignment="1">
      <alignment horizontal="center"/>
    </xf>
    <xf numFmtId="165" fontId="5" fillId="0" borderId="11" xfId="1" applyNumberFormat="1" applyFont="1" applyFill="1" applyBorder="1" applyAlignment="1">
      <alignment horizontal="center"/>
    </xf>
    <xf numFmtId="165" fontId="3" fillId="0" borderId="10" xfId="1" applyNumberFormat="1" applyFont="1" applyFill="1" applyBorder="1" applyAlignment="1">
      <alignment horizontal="center"/>
    </xf>
    <xf numFmtId="165" fontId="3" fillId="0" borderId="0" xfId="1" applyNumberFormat="1" applyFont="1" applyBorder="1"/>
    <xf numFmtId="165" fontId="3" fillId="0" borderId="10" xfId="1" applyNumberFormat="1" applyFont="1" applyBorder="1"/>
    <xf numFmtId="164" fontId="3" fillId="0" borderId="0" xfId="0" applyFont="1" applyAlignment="1">
      <alignment horizontal="left" indent="1"/>
    </xf>
    <xf numFmtId="165" fontId="3" fillId="2" borderId="20" xfId="1" applyNumberFormat="1" applyFont="1" applyFill="1" applyBorder="1"/>
    <xf numFmtId="164" fontId="3" fillId="0" borderId="0" xfId="0" applyFont="1" applyAlignment="1">
      <alignment horizontal="left" indent="2"/>
    </xf>
    <xf numFmtId="165" fontId="3" fillId="2" borderId="21" xfId="1" applyNumberFormat="1" applyFont="1" applyFill="1" applyBorder="1"/>
    <xf numFmtId="164" fontId="3" fillId="0" borderId="0" xfId="0" applyFont="1" applyAlignment="1">
      <alignment horizontal="left"/>
    </xf>
    <xf numFmtId="165" fontId="3" fillId="0" borderId="22" xfId="1" applyNumberFormat="1" applyFont="1" applyBorder="1"/>
    <xf numFmtId="164" fontId="3" fillId="0" borderId="0" xfId="0" applyFont="1" applyAlignment="1">
      <alignment horizontal="left" wrapText="1" indent="1"/>
    </xf>
    <xf numFmtId="9" fontId="0" fillId="0" borderId="0" xfId="4" applyFont="1" applyAlignment="1"/>
    <xf numFmtId="165" fontId="3" fillId="0" borderId="10" xfId="1" applyNumberFormat="1" applyFont="1" applyFill="1" applyBorder="1"/>
    <xf numFmtId="165" fontId="0" fillId="0" borderId="0" xfId="4" applyNumberFormat="1" applyFont="1" applyAlignment="1"/>
    <xf numFmtId="10" fontId="3" fillId="0" borderId="0" xfId="4" applyNumberFormat="1" applyFont="1" applyFill="1" applyBorder="1" applyAlignment="1"/>
    <xf numFmtId="165" fontId="5" fillId="0" borderId="0" xfId="1" applyNumberFormat="1" applyFont="1" applyBorder="1"/>
    <xf numFmtId="10" fontId="5" fillId="0" borderId="0" xfId="4" applyNumberFormat="1" applyFont="1" applyBorder="1"/>
    <xf numFmtId="165" fontId="5" fillId="0" borderId="10" xfId="1" applyNumberFormat="1" applyFont="1" applyBorder="1"/>
    <xf numFmtId="165" fontId="3" fillId="2" borderId="23" xfId="1" applyNumberFormat="1" applyFont="1" applyFill="1" applyBorder="1"/>
    <xf numFmtId="10" fontId="3" fillId="0" borderId="0" xfId="4" applyNumberFormat="1" applyFont="1" applyBorder="1"/>
    <xf numFmtId="164" fontId="3" fillId="0" borderId="0" xfId="0" applyFont="1" applyAlignment="1">
      <alignment horizontal="left" wrapText="1" indent="2"/>
    </xf>
    <xf numFmtId="165" fontId="3" fillId="2" borderId="24" xfId="1" applyNumberFormat="1" applyFont="1" applyFill="1" applyBorder="1"/>
    <xf numFmtId="177" fontId="3" fillId="0" borderId="22" xfId="4" applyNumberFormat="1" applyFont="1" applyBorder="1"/>
    <xf numFmtId="0" fontId="3" fillId="0" borderId="12" xfId="1" applyNumberFormat="1" applyFont="1" applyBorder="1" applyAlignment="1">
      <alignment horizontal="center"/>
    </xf>
    <xf numFmtId="165" fontId="3" fillId="0" borderId="1" xfId="1" applyNumberFormat="1" applyFont="1" applyBorder="1"/>
    <xf numFmtId="165" fontId="3" fillId="0" borderId="13" xfId="1" applyNumberFormat="1" applyFont="1" applyBorder="1"/>
    <xf numFmtId="0" fontId="3" fillId="0" borderId="0" xfId="9" applyNumberFormat="1" applyFont="1"/>
    <xf numFmtId="0" fontId="3" fillId="0" borderId="0" xfId="10" applyNumberFormat="1" applyFont="1" applyAlignment="1">
      <alignment horizontal="center"/>
    </xf>
    <xf numFmtId="165" fontId="5" fillId="0" borderId="0" xfId="1" applyNumberFormat="1" applyFont="1" applyAlignment="1"/>
    <xf numFmtId="0" fontId="5" fillId="0" borderId="0" xfId="9" applyNumberFormat="1" applyFont="1" applyAlignment="1">
      <alignment horizontal="center"/>
    </xf>
    <xf numFmtId="0" fontId="5" fillId="0" borderId="0" xfId="10" applyNumberFormat="1" applyFont="1" applyAlignment="1">
      <alignment horizontal="center"/>
    </xf>
    <xf numFmtId="165" fontId="5" fillId="0" borderId="0" xfId="1" applyNumberFormat="1" applyFont="1" applyAlignment="1">
      <alignment horizontal="center"/>
    </xf>
    <xf numFmtId="0" fontId="3" fillId="0" borderId="0" xfId="10" applyNumberFormat="1" applyFont="1" applyProtection="1">
      <protection locked="0"/>
    </xf>
    <xf numFmtId="3" fontId="3" fillId="0" borderId="0" xfId="10" applyNumberFormat="1" applyFont="1"/>
    <xf numFmtId="3" fontId="3" fillId="0" borderId="1" xfId="10" applyNumberFormat="1" applyFont="1" applyBorder="1" applyAlignment="1">
      <alignment horizontal="center"/>
    </xf>
    <xf numFmtId="0" fontId="3" fillId="0" borderId="0" xfId="10" applyNumberFormat="1" applyFont="1"/>
    <xf numFmtId="3" fontId="3" fillId="0" borderId="0" xfId="10" applyNumberFormat="1" applyFont="1" applyAlignment="1">
      <alignment horizontal="center"/>
    </xf>
    <xf numFmtId="0" fontId="3" fillId="0" borderId="1" xfId="10" applyNumberFormat="1" applyFont="1" applyBorder="1" applyAlignment="1" applyProtection="1">
      <alignment horizontal="center"/>
      <protection locked="0"/>
    </xf>
    <xf numFmtId="43" fontId="3" fillId="0" borderId="0" xfId="1" applyFont="1" applyFill="1" applyAlignment="1">
      <alignment horizontal="center"/>
    </xf>
    <xf numFmtId="171" fontId="3" fillId="0" borderId="0" xfId="10" applyNumberFormat="1" applyFont="1"/>
    <xf numFmtId="164" fontId="3" fillId="0" borderId="0" xfId="10" applyFont="1"/>
    <xf numFmtId="43" fontId="3" fillId="0" borderId="1" xfId="1" applyFont="1" applyFill="1" applyBorder="1" applyAlignment="1">
      <alignment horizontal="center"/>
    </xf>
    <xf numFmtId="166" fontId="3" fillId="0" borderId="1" xfId="1" applyNumberFormat="1" applyFont="1" applyBorder="1" applyAlignment="1"/>
    <xf numFmtId="167" fontId="3" fillId="0" borderId="0" xfId="10" applyNumberFormat="1" applyFont="1" applyAlignment="1">
      <alignment horizontal="center"/>
    </xf>
    <xf numFmtId="3" fontId="3" fillId="0" borderId="0" xfId="11" applyNumberFormat="1" applyFont="1"/>
    <xf numFmtId="167" fontId="3" fillId="0" borderId="0" xfId="11" applyNumberFormat="1" applyFont="1"/>
    <xf numFmtId="10" fontId="3" fillId="0" borderId="3" xfId="5" applyNumberFormat="1" applyFont="1" applyBorder="1" applyAlignment="1">
      <alignment horizontal="left"/>
    </xf>
    <xf numFmtId="0" fontId="3" fillId="0" borderId="0" xfId="11" applyFont="1"/>
    <xf numFmtId="165" fontId="3" fillId="0" borderId="0" xfId="1" applyNumberFormat="1" applyFont="1" applyFill="1" applyAlignment="1">
      <alignment horizontal="right"/>
    </xf>
    <xf numFmtId="10" fontId="3" fillId="0" borderId="0" xfId="10" applyNumberFormat="1" applyFont="1" applyAlignment="1">
      <alignment horizontal="left"/>
    </xf>
    <xf numFmtId="164" fontId="31" fillId="0" borderId="0" xfId="0" applyFont="1"/>
    <xf numFmtId="165" fontId="3" fillId="0" borderId="0" xfId="1" applyNumberFormat="1" applyFont="1" applyFill="1" applyAlignment="1" applyProtection="1">
      <alignment horizontal="center"/>
      <protection locked="0"/>
    </xf>
    <xf numFmtId="0" fontId="3" fillId="0" borderId="0" xfId="12" applyFont="1" applyAlignment="1">
      <alignment horizontal="left"/>
    </xf>
    <xf numFmtId="164" fontId="3" fillId="0" borderId="18" xfId="0" applyFont="1" applyBorder="1"/>
    <xf numFmtId="164" fontId="3" fillId="3" borderId="18" xfId="0" applyFont="1" applyFill="1" applyBorder="1"/>
    <xf numFmtId="0" fontId="7" fillId="0" borderId="0" xfId="12"/>
    <xf numFmtId="0" fontId="3" fillId="0" borderId="0" xfId="12" applyFont="1" applyAlignment="1">
      <alignment horizontal="center"/>
    </xf>
    <xf numFmtId="0" fontId="3" fillId="0" borderId="0" xfId="12" applyFont="1"/>
    <xf numFmtId="0" fontId="3" fillId="0" borderId="0" xfId="12" applyFont="1" applyAlignment="1">
      <alignment horizontal="center" wrapText="1"/>
    </xf>
    <xf numFmtId="165" fontId="3" fillId="0" borderId="0" xfId="0" applyNumberFormat="1" applyFont="1"/>
    <xf numFmtId="165" fontId="3" fillId="0" borderId="0" xfId="12" applyNumberFormat="1" applyFont="1"/>
    <xf numFmtId="172" fontId="3" fillId="0" borderId="0" xfId="1" applyNumberFormat="1" applyFont="1" applyFill="1"/>
    <xf numFmtId="172" fontId="3" fillId="0" borderId="0" xfId="1" applyNumberFormat="1" applyFont="1"/>
    <xf numFmtId="0" fontId="23" fillId="0" borderId="0" xfId="12" applyFont="1"/>
    <xf numFmtId="0" fontId="5" fillId="0" borderId="0" xfId="12" applyFont="1" applyAlignment="1">
      <alignment horizontal="center"/>
    </xf>
    <xf numFmtId="0" fontId="5" fillId="0" borderId="0" xfId="12" applyFont="1"/>
    <xf numFmtId="0" fontId="3" fillId="4" borderId="25" xfId="12" applyFont="1" applyFill="1" applyBorder="1"/>
    <xf numFmtId="0" fontId="3" fillId="4" borderId="5" xfId="12" applyFont="1" applyFill="1" applyBorder="1"/>
    <xf numFmtId="0" fontId="3" fillId="4" borderId="26" xfId="12" applyFont="1" applyFill="1" applyBorder="1"/>
    <xf numFmtId="0" fontId="3" fillId="4" borderId="18" xfId="12" applyFont="1" applyFill="1" applyBorder="1"/>
    <xf numFmtId="0" fontId="3" fillId="0" borderId="0" xfId="0" applyNumberFormat="1" applyFont="1" applyAlignment="1">
      <alignment horizontal="center" wrapText="1"/>
    </xf>
    <xf numFmtId="0" fontId="3" fillId="0" borderId="0" xfId="13" applyFont="1" applyAlignment="1">
      <alignment horizontal="center" wrapText="1"/>
    </xf>
    <xf numFmtId="0" fontId="3" fillId="0" borderId="29" xfId="0" applyNumberFormat="1" applyFont="1" applyBorder="1" applyAlignment="1">
      <alignment horizontal="center" wrapText="1"/>
    </xf>
    <xf numFmtId="0" fontId="3" fillId="0" borderId="18" xfId="12" applyFont="1" applyBorder="1" applyAlignment="1">
      <alignment horizontal="center"/>
    </xf>
    <xf numFmtId="0" fontId="3" fillId="0" borderId="18" xfId="12" applyFont="1" applyBorder="1" applyAlignment="1">
      <alignment horizontal="center" wrapText="1"/>
    </xf>
    <xf numFmtId="0" fontId="3" fillId="0" borderId="0" xfId="12" applyFont="1" applyAlignment="1">
      <alignment horizontal="left" wrapText="1"/>
    </xf>
    <xf numFmtId="0" fontId="3" fillId="0" borderId="30" xfId="12" applyFont="1" applyBorder="1" applyAlignment="1">
      <alignment horizontal="center" wrapText="1"/>
    </xf>
    <xf numFmtId="0" fontId="3" fillId="0" borderId="4" xfId="12" applyFont="1" applyBorder="1" applyAlignment="1">
      <alignment horizontal="center" wrapText="1"/>
    </xf>
    <xf numFmtId="0" fontId="3" fillId="0" borderId="31" xfId="12" applyFont="1" applyBorder="1" applyAlignment="1">
      <alignment horizontal="center" wrapText="1"/>
    </xf>
    <xf numFmtId="0" fontId="3" fillId="0" borderId="32" xfId="12" applyFont="1" applyBorder="1" applyAlignment="1">
      <alignment horizontal="center"/>
    </xf>
    <xf numFmtId="0" fontId="3" fillId="0" borderId="33" xfId="12" applyFont="1" applyBorder="1"/>
    <xf numFmtId="0" fontId="3" fillId="0" borderId="34" xfId="12" applyFont="1" applyBorder="1" applyAlignment="1">
      <alignment horizontal="center" wrapText="1"/>
    </xf>
    <xf numFmtId="0" fontId="3" fillId="0" borderId="34" xfId="12" applyFont="1" applyBorder="1" applyAlignment="1">
      <alignment horizontal="center"/>
    </xf>
    <xf numFmtId="0" fontId="3" fillId="0" borderId="35" xfId="12" applyFont="1" applyBorder="1"/>
    <xf numFmtId="0" fontId="3" fillId="0" borderId="34" xfId="12" applyFont="1" applyBorder="1"/>
    <xf numFmtId="178" fontId="3" fillId="4" borderId="0" xfId="1" applyNumberFormat="1" applyFont="1" applyFill="1" applyBorder="1" applyAlignment="1">
      <alignment horizontal="center"/>
    </xf>
    <xf numFmtId="165" fontId="3" fillId="4" borderId="0" xfId="1" applyNumberFormat="1" applyFont="1" applyFill="1" applyBorder="1" applyAlignment="1">
      <alignment horizontal="center"/>
    </xf>
    <xf numFmtId="172" fontId="3" fillId="0" borderId="0" xfId="1" applyNumberFormat="1" applyFont="1" applyFill="1" applyBorder="1" applyAlignment="1">
      <alignment horizontal="center"/>
    </xf>
    <xf numFmtId="165" fontId="3" fillId="4" borderId="33" xfId="1" applyNumberFormat="1" applyFont="1" applyFill="1" applyBorder="1"/>
    <xf numFmtId="165" fontId="3" fillId="4" borderId="0" xfId="1" applyNumberFormat="1" applyFont="1" applyFill="1" applyBorder="1"/>
    <xf numFmtId="165" fontId="3" fillId="0" borderId="34" xfId="1" applyNumberFormat="1" applyFont="1" applyBorder="1"/>
    <xf numFmtId="165" fontId="3" fillId="0" borderId="34" xfId="1" applyNumberFormat="1" applyFont="1" applyFill="1" applyBorder="1"/>
    <xf numFmtId="165" fontId="3" fillId="0" borderId="35" xfId="12" applyNumberFormat="1" applyFont="1" applyBorder="1"/>
    <xf numFmtId="43" fontId="7" fillId="0" borderId="0" xfId="12" applyNumberFormat="1"/>
    <xf numFmtId="43" fontId="3" fillId="4" borderId="0" xfId="1" applyFont="1" applyFill="1" applyBorder="1" applyAlignment="1">
      <alignment horizontal="center"/>
    </xf>
    <xf numFmtId="172" fontId="3" fillId="0" borderId="0" xfId="0" applyNumberFormat="1" applyFont="1" applyAlignment="1">
      <alignment horizontal="center"/>
    </xf>
    <xf numFmtId="43" fontId="3" fillId="4" borderId="0" xfId="1" applyFont="1" applyFill="1" applyBorder="1" applyAlignment="1">
      <alignment horizontal="left"/>
    </xf>
    <xf numFmtId="10" fontId="3" fillId="0" borderId="0" xfId="1" applyNumberFormat="1" applyFont="1" applyFill="1" applyBorder="1" applyAlignment="1">
      <alignment horizontal="center"/>
    </xf>
    <xf numFmtId="43" fontId="3" fillId="0" borderId="0" xfId="1" applyFont="1" applyFill="1" applyBorder="1" applyAlignment="1">
      <alignment horizontal="center"/>
    </xf>
    <xf numFmtId="165" fontId="3" fillId="4" borderId="33" xfId="1" applyNumberFormat="1" applyFont="1" applyFill="1" applyBorder="1" applyAlignment="1">
      <alignment horizontal="center"/>
    </xf>
    <xf numFmtId="43" fontId="3" fillId="4" borderId="33" xfId="1" applyFont="1" applyFill="1" applyBorder="1" applyAlignment="1">
      <alignment horizontal="center"/>
    </xf>
    <xf numFmtId="165" fontId="3" fillId="0" borderId="27" xfId="12" applyNumberFormat="1" applyFont="1" applyBorder="1"/>
    <xf numFmtId="165" fontId="3" fillId="0" borderId="3" xfId="12" applyNumberFormat="1" applyFont="1" applyBorder="1"/>
    <xf numFmtId="165" fontId="3" fillId="0" borderId="28" xfId="12" applyNumberFormat="1" applyFont="1" applyBorder="1"/>
    <xf numFmtId="165" fontId="3" fillId="0" borderId="34" xfId="12" applyNumberFormat="1" applyFont="1" applyBorder="1"/>
    <xf numFmtId="42" fontId="7" fillId="0" borderId="0" xfId="12" applyNumberFormat="1"/>
    <xf numFmtId="165" fontId="3" fillId="0" borderId="18" xfId="1" applyNumberFormat="1" applyFont="1" applyFill="1" applyBorder="1"/>
    <xf numFmtId="165" fontId="3" fillId="4" borderId="0" xfId="1" applyNumberFormat="1" applyFont="1" applyFill="1"/>
    <xf numFmtId="164" fontId="0" fillId="0" borderId="0" xfId="0" applyAlignment="1">
      <alignment wrapText="1"/>
    </xf>
    <xf numFmtId="42" fontId="3" fillId="0" borderId="0" xfId="12" applyNumberFormat="1" applyFont="1"/>
    <xf numFmtId="49" fontId="3" fillId="0" borderId="0" xfId="9" applyNumberFormat="1" applyFont="1" applyAlignment="1">
      <alignment horizontal="left"/>
    </xf>
    <xf numFmtId="0" fontId="3" fillId="0" borderId="25" xfId="12" applyFont="1" applyBorder="1" applyAlignment="1">
      <alignment horizontal="center" wrapText="1"/>
    </xf>
    <xf numFmtId="0" fontId="3" fillId="0" borderId="18" xfId="12" applyFont="1" applyBorder="1" applyAlignment="1">
      <alignment wrapText="1"/>
    </xf>
    <xf numFmtId="0" fontId="3" fillId="0" borderId="26" xfId="12" applyFont="1" applyBorder="1"/>
    <xf numFmtId="165" fontId="3" fillId="3" borderId="18" xfId="1" applyNumberFormat="1" applyFont="1" applyFill="1" applyBorder="1" applyAlignment="1"/>
    <xf numFmtId="165" fontId="3" fillId="0" borderId="18" xfId="1" applyNumberFormat="1" applyFont="1" applyFill="1" applyBorder="1" applyAlignment="1">
      <alignment horizontal="center"/>
    </xf>
    <xf numFmtId="165" fontId="3" fillId="3" borderId="18" xfId="1" applyNumberFormat="1" applyFont="1" applyFill="1" applyBorder="1" applyAlignment="1">
      <alignment horizontal="center"/>
    </xf>
    <xf numFmtId="165" fontId="3" fillId="0" borderId="0" xfId="1" applyNumberFormat="1" applyFont="1" applyAlignment="1">
      <alignment horizontal="left"/>
    </xf>
    <xf numFmtId="10" fontId="3" fillId="0" borderId="0" xfId="12" applyNumberFormat="1" applyFont="1"/>
    <xf numFmtId="164" fontId="16" fillId="0" borderId="0" xfId="0" applyFont="1"/>
    <xf numFmtId="164" fontId="3" fillId="0" borderId="0" xfId="0" applyFont="1" applyProtection="1">
      <protection locked="0"/>
    </xf>
    <xf numFmtId="0" fontId="3" fillId="2" borderId="0" xfId="0" applyNumberFormat="1" applyFont="1" applyFill="1" applyAlignment="1" applyProtection="1">
      <alignment horizontal="center"/>
      <protection locked="0"/>
    </xf>
    <xf numFmtId="0" fontId="3" fillId="0" borderId="0" xfId="0" applyNumberFormat="1" applyFont="1" applyAlignment="1" applyProtection="1">
      <alignment horizontal="center"/>
      <protection locked="0"/>
    </xf>
    <xf numFmtId="164" fontId="3" fillId="0" borderId="36" xfId="0" applyFont="1" applyBorder="1" applyAlignment="1" applyProtection="1">
      <alignment horizontal="center" wrapText="1"/>
      <protection locked="0"/>
    </xf>
    <xf numFmtId="164" fontId="3" fillId="0" borderId="37" xfId="0" applyFont="1" applyBorder="1" applyAlignment="1" applyProtection="1">
      <alignment horizontal="center" wrapText="1"/>
      <protection locked="0"/>
    </xf>
    <xf numFmtId="164" fontId="3" fillId="0" borderId="37" xfId="0" applyFont="1" applyBorder="1" applyProtection="1">
      <protection locked="0"/>
    </xf>
    <xf numFmtId="173" fontId="3" fillId="2" borderId="38" xfId="0" applyNumberFormat="1" applyFont="1" applyFill="1" applyBorder="1" applyAlignment="1" applyProtection="1">
      <alignment horizontal="center"/>
      <protection locked="0"/>
    </xf>
    <xf numFmtId="164" fontId="5" fillId="0" borderId="0" xfId="0" applyFont="1" applyAlignment="1" applyProtection="1">
      <alignment horizontal="center"/>
      <protection locked="0"/>
    </xf>
    <xf numFmtId="164" fontId="3" fillId="0" borderId="0" xfId="0" applyFont="1" applyAlignment="1" applyProtection="1">
      <alignment horizontal="center"/>
      <protection locked="0"/>
    </xf>
    <xf numFmtId="165" fontId="3" fillId="0" borderId="0" xfId="0" applyNumberFormat="1" applyFont="1" applyProtection="1">
      <protection locked="0"/>
    </xf>
    <xf numFmtId="5" fontId="3" fillId="0" borderId="38" xfId="0" applyNumberFormat="1" applyFont="1" applyBorder="1" applyAlignment="1" applyProtection="1">
      <alignment horizontal="center"/>
      <protection locked="0"/>
    </xf>
    <xf numFmtId="165" fontId="3" fillId="0" borderId="1" xfId="0" applyNumberFormat="1" applyFont="1" applyBorder="1" applyProtection="1">
      <protection locked="0"/>
    </xf>
    <xf numFmtId="164" fontId="3" fillId="0" borderId="1" xfId="0" applyFont="1" applyBorder="1" applyAlignment="1" applyProtection="1">
      <alignment horizontal="center"/>
      <protection locked="0"/>
    </xf>
    <xf numFmtId="164" fontId="3" fillId="0" borderId="1" xfId="0" applyFont="1" applyBorder="1" applyProtection="1">
      <protection locked="0"/>
    </xf>
    <xf numFmtId="165" fontId="3" fillId="0" borderId="0" xfId="0" applyNumberFormat="1" applyFont="1" applyAlignment="1" applyProtection="1">
      <alignment horizontal="left"/>
      <protection locked="0"/>
    </xf>
    <xf numFmtId="0" fontId="5" fillId="0" borderId="0" xfId="0" applyNumberFormat="1" applyFont="1" applyAlignment="1" applyProtection="1">
      <alignment horizontal="left"/>
      <protection locked="0"/>
    </xf>
    <xf numFmtId="164" fontId="5" fillId="0" borderId="0" xfId="0" applyFont="1" applyAlignment="1" applyProtection="1">
      <alignment horizontal="center" wrapText="1"/>
      <protection locked="0"/>
    </xf>
    <xf numFmtId="165" fontId="5" fillId="0" borderId="0" xfId="0" applyNumberFormat="1" applyFont="1" applyAlignment="1" applyProtection="1">
      <alignment horizontal="center" wrapText="1"/>
      <protection locked="0"/>
    </xf>
    <xf numFmtId="165" fontId="5" fillId="0" borderId="0" xfId="0" applyNumberFormat="1" applyFont="1" applyAlignment="1" applyProtection="1">
      <alignment horizontal="center"/>
      <protection locked="0"/>
    </xf>
    <xf numFmtId="177" fontId="3" fillId="0" borderId="0" xfId="4" applyNumberFormat="1" applyFont="1" applyFill="1" applyProtection="1">
      <protection locked="0"/>
    </xf>
    <xf numFmtId="10" fontId="3" fillId="2" borderId="0" xfId="4" applyNumberFormat="1" applyFont="1" applyFill="1" applyProtection="1">
      <protection locked="0"/>
    </xf>
    <xf numFmtId="165" fontId="3" fillId="0" borderId="0" xfId="0" applyNumberFormat="1" applyFont="1" applyAlignment="1" applyProtection="1">
      <alignment horizontal="center"/>
      <protection locked="0"/>
    </xf>
    <xf numFmtId="164" fontId="11" fillId="0" borderId="0" xfId="0" applyFont="1" applyAlignment="1" applyProtection="1">
      <alignment horizontal="center"/>
      <protection locked="0"/>
    </xf>
    <xf numFmtId="0" fontId="3" fillId="2" borderId="0" xfId="0" applyNumberFormat="1" applyFont="1" applyFill="1" applyProtection="1">
      <protection locked="0"/>
    </xf>
    <xf numFmtId="165" fontId="3" fillId="0" borderId="0" xfId="1" applyNumberFormat="1" applyFont="1" applyFill="1" applyProtection="1">
      <protection locked="0"/>
    </xf>
    <xf numFmtId="177" fontId="3" fillId="0" borderId="0" xfId="0" applyNumberFormat="1" applyFont="1" applyProtection="1">
      <protection locked="0"/>
    </xf>
    <xf numFmtId="165" fontId="3" fillId="0" borderId="3" xfId="1" applyNumberFormat="1" applyFont="1" applyFill="1" applyBorder="1" applyProtection="1">
      <protection locked="0"/>
    </xf>
    <xf numFmtId="165" fontId="5" fillId="0" borderId="0" xfId="1" applyNumberFormat="1" applyFont="1" applyFill="1" applyProtection="1">
      <protection locked="0"/>
    </xf>
    <xf numFmtId="165" fontId="5" fillId="0" borderId="0" xfId="1" applyNumberFormat="1" applyFont="1" applyFill="1" applyAlignment="1" applyProtection="1">
      <alignment horizontal="center"/>
      <protection locked="0"/>
    </xf>
    <xf numFmtId="164" fontId="11" fillId="0" borderId="0" xfId="0" applyFont="1" applyProtection="1">
      <protection locked="0"/>
    </xf>
    <xf numFmtId="165" fontId="5" fillId="0" borderId="0" xfId="0" applyNumberFormat="1" applyFont="1" applyProtection="1">
      <protection locked="0"/>
    </xf>
    <xf numFmtId="165" fontId="16" fillId="0" borderId="0" xfId="0" applyNumberFormat="1" applyFont="1" applyProtection="1">
      <protection locked="0"/>
    </xf>
    <xf numFmtId="165" fontId="0" fillId="0" borderId="0" xfId="0" applyNumberFormat="1"/>
    <xf numFmtId="179" fontId="3" fillId="0" borderId="0" xfId="3" applyNumberFormat="1" applyFont="1" applyFill="1"/>
    <xf numFmtId="177" fontId="3" fillId="0" borderId="0" xfId="0" applyNumberFormat="1" applyFont="1"/>
    <xf numFmtId="179" fontId="3" fillId="0" borderId="0" xfId="3" applyNumberFormat="1" applyFont="1"/>
    <xf numFmtId="179" fontId="3" fillId="0" borderId="0" xfId="0" applyNumberFormat="1" applyFont="1"/>
    <xf numFmtId="0" fontId="16" fillId="0" borderId="0" xfId="12" applyFont="1"/>
    <xf numFmtId="0" fontId="16" fillId="0" borderId="0" xfId="12" applyFont="1" applyAlignment="1">
      <alignment horizontal="center"/>
    </xf>
    <xf numFmtId="0" fontId="32" fillId="0" borderId="0" xfId="12" applyFont="1"/>
    <xf numFmtId="0" fontId="3" fillId="0" borderId="3" xfId="12" applyFont="1" applyBorder="1" applyAlignment="1">
      <alignment horizontal="center"/>
    </xf>
    <xf numFmtId="0" fontId="3" fillId="0" borderId="3" xfId="12" applyFont="1" applyBorder="1"/>
    <xf numFmtId="0" fontId="16" fillId="0" borderId="3" xfId="12" applyFont="1" applyBorder="1"/>
    <xf numFmtId="0" fontId="3" fillId="0" borderId="3" xfId="12" applyFont="1" applyBorder="1" applyAlignment="1">
      <alignment horizontal="center" wrapText="1"/>
    </xf>
    <xf numFmtId="0" fontId="3" fillId="0" borderId="0" xfId="12" applyFont="1" applyAlignment="1">
      <alignment horizontal="right"/>
    </xf>
    <xf numFmtId="43" fontId="16" fillId="0" borderId="0" xfId="1" applyFont="1" applyFill="1"/>
    <xf numFmtId="37" fontId="3" fillId="0" borderId="0" xfId="12" applyNumberFormat="1" applyFont="1"/>
    <xf numFmtId="43" fontId="3" fillId="0" borderId="0" xfId="12" applyNumberFormat="1" applyFont="1"/>
    <xf numFmtId="9" fontId="3" fillId="0" borderId="0" xfId="12" applyNumberFormat="1" applyFont="1" applyAlignment="1">
      <alignment horizontal="left"/>
    </xf>
    <xf numFmtId="37" fontId="3" fillId="0" borderId="0" xfId="12" applyNumberFormat="1" applyFont="1" applyAlignment="1">
      <alignment horizontal="left"/>
    </xf>
    <xf numFmtId="0" fontId="3" fillId="0" borderId="3" xfId="12" applyFont="1" applyBorder="1" applyAlignment="1">
      <alignment horizontal="right" vertical="top"/>
    </xf>
    <xf numFmtId="0" fontId="3" fillId="0" borderId="3" xfId="12" applyFont="1" applyBorder="1" applyAlignment="1">
      <alignment horizontal="center" vertical="top" wrapText="1"/>
    </xf>
    <xf numFmtId="0" fontId="3" fillId="4" borderId="0" xfId="1" applyNumberFormat="1" applyFont="1" applyFill="1" applyAlignment="1">
      <alignment horizontal="center"/>
    </xf>
    <xf numFmtId="43" fontId="16" fillId="0" borderId="0" xfId="12" applyNumberFormat="1" applyFont="1"/>
    <xf numFmtId="165" fontId="16" fillId="0" borderId="0" xfId="12" applyNumberFormat="1" applyFont="1"/>
    <xf numFmtId="10" fontId="16" fillId="0" borderId="0" xfId="12" applyNumberFormat="1" applyFont="1"/>
    <xf numFmtId="43" fontId="16" fillId="0" borderId="0" xfId="1" applyFont="1" applyFill="1" applyAlignment="1"/>
    <xf numFmtId="10" fontId="3" fillId="0" borderId="0" xfId="4" applyNumberFormat="1" applyFont="1" applyFill="1"/>
    <xf numFmtId="165" fontId="16" fillId="0" borderId="0" xfId="1" applyNumberFormat="1" applyFont="1" applyFill="1"/>
    <xf numFmtId="165" fontId="16" fillId="4" borderId="0" xfId="1" applyNumberFormat="1" applyFont="1" applyFill="1"/>
    <xf numFmtId="43" fontId="3" fillId="0" borderId="0" xfId="12" applyNumberFormat="1" applyFont="1" applyAlignment="1">
      <alignment horizontal="center"/>
    </xf>
    <xf numFmtId="41" fontId="3" fillId="0" borderId="0" xfId="12" applyNumberFormat="1" applyFont="1" applyAlignment="1">
      <alignment horizontal="center"/>
    </xf>
    <xf numFmtId="41" fontId="33" fillId="0" borderId="0" xfId="12" applyNumberFormat="1" applyFont="1" applyAlignment="1">
      <alignment horizontal="center"/>
    </xf>
    <xf numFmtId="0" fontId="5" fillId="0" borderId="0" xfId="12" applyFont="1" applyAlignment="1">
      <alignment horizontal="right"/>
    </xf>
    <xf numFmtId="0" fontId="3" fillId="2" borderId="39" xfId="12" applyFont="1" applyFill="1" applyBorder="1"/>
    <xf numFmtId="41" fontId="3" fillId="2" borderId="18" xfId="12" applyNumberFormat="1" applyFont="1" applyFill="1" applyBorder="1"/>
    <xf numFmtId="41" fontId="3" fillId="2" borderId="18" xfId="2" applyFont="1" applyFill="1" applyBorder="1"/>
    <xf numFmtId="0" fontId="3" fillId="2" borderId="40" xfId="12" applyFont="1" applyFill="1" applyBorder="1" applyAlignment="1">
      <alignment wrapText="1"/>
    </xf>
    <xf numFmtId="0" fontId="3" fillId="2" borderId="39" xfId="12" applyFont="1" applyFill="1" applyBorder="1" applyAlignment="1">
      <alignment wrapText="1"/>
    </xf>
    <xf numFmtId="0" fontId="3" fillId="2" borderId="18" xfId="12" applyFont="1" applyFill="1" applyBorder="1"/>
    <xf numFmtId="0" fontId="3" fillId="10" borderId="39" xfId="12" applyFont="1" applyFill="1" applyBorder="1" applyAlignment="1">
      <alignment wrapText="1"/>
    </xf>
    <xf numFmtId="41" fontId="3" fillId="10" borderId="18" xfId="12" applyNumberFormat="1" applyFont="1" applyFill="1" applyBorder="1"/>
    <xf numFmtId="0" fontId="3" fillId="10" borderId="40" xfId="12" applyFont="1" applyFill="1" applyBorder="1" applyAlignment="1">
      <alignment wrapText="1"/>
    </xf>
    <xf numFmtId="0" fontId="3" fillId="0" borderId="41" xfId="12" applyFont="1" applyBorder="1"/>
    <xf numFmtId="165" fontId="3" fillId="0" borderId="18" xfId="1" applyNumberFormat="1" applyFont="1" applyBorder="1"/>
    <xf numFmtId="37" fontId="3" fillId="0" borderId="40" xfId="12" applyNumberFormat="1" applyFont="1" applyBorder="1" applyAlignment="1">
      <alignment wrapText="1"/>
    </xf>
    <xf numFmtId="0" fontId="3" fillId="0" borderId="42" xfId="12" applyFont="1" applyBorder="1"/>
    <xf numFmtId="165" fontId="3" fillId="2" borderId="18" xfId="1" applyNumberFormat="1" applyFont="1" applyFill="1" applyBorder="1"/>
    <xf numFmtId="165" fontId="3" fillId="2" borderId="18" xfId="1" applyNumberFormat="1" applyFont="1" applyFill="1" applyBorder="1" applyAlignment="1">
      <alignment horizontal="right"/>
    </xf>
    <xf numFmtId="165" fontId="3" fillId="2" borderId="18" xfId="1" applyNumberFormat="1" applyFont="1" applyFill="1" applyBorder="1" applyAlignment="1">
      <alignment horizontal="center"/>
    </xf>
    <xf numFmtId="0" fontId="3" fillId="0" borderId="43" xfId="12" applyFont="1" applyBorder="1"/>
    <xf numFmtId="165" fontId="3" fillId="2" borderId="32" xfId="1" applyNumberFormat="1" applyFont="1" applyFill="1" applyBorder="1"/>
    <xf numFmtId="0" fontId="3" fillId="2" borderId="44" xfId="12" applyFont="1" applyFill="1" applyBorder="1" applyAlignment="1">
      <alignment wrapText="1"/>
    </xf>
    <xf numFmtId="0" fontId="3" fillId="0" borderId="45" xfId="12" applyFont="1" applyBorder="1"/>
    <xf numFmtId="165" fontId="3" fillId="0" borderId="46" xfId="1" applyNumberFormat="1" applyFont="1" applyFill="1" applyBorder="1"/>
    <xf numFmtId="0" fontId="3" fillId="0" borderId="47" xfId="12" applyFont="1" applyBorder="1" applyAlignment="1">
      <alignment wrapText="1"/>
    </xf>
    <xf numFmtId="37" fontId="3" fillId="0" borderId="0" xfId="12" applyNumberFormat="1" applyFont="1" applyAlignment="1">
      <alignment horizontal="center"/>
    </xf>
    <xf numFmtId="37" fontId="3" fillId="0" borderId="0" xfId="12" applyNumberFormat="1" applyFont="1" applyAlignment="1">
      <alignment wrapText="1"/>
    </xf>
    <xf numFmtId="0" fontId="3" fillId="0" borderId="0" xfId="12" applyFont="1" applyAlignment="1">
      <alignment wrapText="1"/>
    </xf>
    <xf numFmtId="41" fontId="3" fillId="4" borderId="18" xfId="2" applyFont="1" applyFill="1" applyBorder="1"/>
    <xf numFmtId="37" fontId="3" fillId="2" borderId="41" xfId="12" applyNumberFormat="1" applyFont="1" applyFill="1" applyBorder="1" applyAlignment="1">
      <alignment horizontal="center"/>
    </xf>
    <xf numFmtId="37" fontId="3" fillId="2" borderId="18" xfId="12" applyNumberFormat="1" applyFont="1" applyFill="1" applyBorder="1"/>
    <xf numFmtId="0" fontId="3" fillId="2" borderId="41" xfId="12" applyFont="1" applyFill="1" applyBorder="1" applyAlignment="1">
      <alignment horizontal="center"/>
    </xf>
    <xf numFmtId="41" fontId="3" fillId="10" borderId="18" xfId="2" applyFont="1" applyFill="1" applyBorder="1"/>
    <xf numFmtId="0" fontId="3" fillId="0" borderId="39" xfId="12" applyFont="1" applyBorder="1"/>
    <xf numFmtId="0" fontId="3" fillId="0" borderId="48" xfId="12" applyFont="1" applyBorder="1"/>
    <xf numFmtId="0" fontId="3" fillId="2" borderId="39" xfId="15" applyFont="1" applyFill="1" applyBorder="1"/>
    <xf numFmtId="41" fontId="3" fillId="0" borderId="0" xfId="2" applyFont="1" applyFill="1" applyBorder="1"/>
    <xf numFmtId="0" fontId="3" fillId="0" borderId="49" xfId="12" applyFont="1" applyBorder="1"/>
    <xf numFmtId="165" fontId="3" fillId="2" borderId="32" xfId="1" applyNumberFormat="1" applyFont="1" applyFill="1" applyBorder="1" applyAlignment="1">
      <alignment horizontal="right"/>
    </xf>
    <xf numFmtId="165" fontId="3" fillId="0" borderId="46" xfId="1" applyNumberFormat="1" applyFont="1" applyFill="1" applyBorder="1" applyAlignment="1">
      <alignment horizontal="right"/>
    </xf>
    <xf numFmtId="165" fontId="3" fillId="0" borderId="0" xfId="12" applyNumberFormat="1" applyFont="1" applyAlignment="1">
      <alignment wrapText="1"/>
    </xf>
    <xf numFmtId="0" fontId="3" fillId="0" borderId="0" xfId="12" applyFont="1" applyAlignment="1">
      <alignment horizontal="centerContinuous"/>
    </xf>
    <xf numFmtId="0" fontId="16" fillId="0" borderId="3" xfId="12" applyFont="1" applyBorder="1" applyAlignment="1">
      <alignment horizontal="center" wrapText="1"/>
    </xf>
    <xf numFmtId="43" fontId="16" fillId="0" borderId="0" xfId="1" applyFont="1"/>
    <xf numFmtId="37" fontId="3" fillId="10" borderId="18" xfId="12" applyNumberFormat="1" applyFont="1" applyFill="1" applyBorder="1"/>
    <xf numFmtId="1" fontId="3" fillId="0" borderId="0" xfId="1" applyNumberFormat="1" applyFont="1" applyAlignment="1">
      <alignment horizontal="center"/>
    </xf>
    <xf numFmtId="1" fontId="3" fillId="4" borderId="0" xfId="1" applyNumberFormat="1" applyFont="1" applyFill="1" applyAlignment="1">
      <alignment horizontal="center"/>
    </xf>
    <xf numFmtId="165" fontId="16" fillId="0" borderId="0" xfId="1" applyNumberFormat="1" applyFont="1"/>
    <xf numFmtId="1" fontId="3" fillId="0" borderId="0" xfId="1" applyNumberFormat="1" applyFont="1" applyFill="1" applyAlignment="1">
      <alignment horizontal="center"/>
    </xf>
    <xf numFmtId="1" fontId="3" fillId="0" borderId="0" xfId="1" applyNumberFormat="1" applyFont="1"/>
    <xf numFmtId="1" fontId="3" fillId="0" borderId="0" xfId="1" applyNumberFormat="1" applyFont="1" applyFill="1" applyBorder="1"/>
    <xf numFmtId="0" fontId="34" fillId="0" borderId="0" xfId="12" applyFont="1"/>
    <xf numFmtId="165" fontId="34" fillId="0" borderId="0" xfId="12" applyNumberFormat="1" applyFont="1"/>
    <xf numFmtId="9" fontId="34" fillId="0" borderId="0" xfId="4" applyFont="1" applyFill="1" applyAlignment="1"/>
    <xf numFmtId="165" fontId="34" fillId="0" borderId="0" xfId="1" applyNumberFormat="1" applyFont="1" applyFill="1" applyAlignment="1"/>
    <xf numFmtId="0" fontId="34" fillId="0" borderId="0" xfId="12" applyFont="1" applyAlignment="1">
      <alignment horizontal="center"/>
    </xf>
    <xf numFmtId="0" fontId="34" fillId="0" borderId="0" xfId="12" applyFont="1" applyAlignment="1">
      <alignment horizontal="left"/>
    </xf>
    <xf numFmtId="0" fontId="34" fillId="0" borderId="9" xfId="12" applyFont="1" applyBorder="1" applyAlignment="1">
      <alignment horizontal="center"/>
    </xf>
    <xf numFmtId="0" fontId="34" fillId="11" borderId="0" xfId="12" applyFont="1" applyFill="1" applyAlignment="1">
      <alignment horizontal="center"/>
    </xf>
    <xf numFmtId="0" fontId="34" fillId="11" borderId="10" xfId="12" applyFont="1" applyFill="1" applyBorder="1" applyAlignment="1">
      <alignment horizontal="center"/>
    </xf>
    <xf numFmtId="0" fontId="34" fillId="0" borderId="3" xfId="12" applyFont="1" applyBorder="1" applyAlignment="1">
      <alignment horizontal="right" vertical="top"/>
    </xf>
    <xf numFmtId="0" fontId="34" fillId="0" borderId="3" xfId="12" applyFont="1" applyBorder="1" applyAlignment="1">
      <alignment horizontal="center" vertical="top" wrapText="1"/>
    </xf>
    <xf numFmtId="0" fontId="34" fillId="0" borderId="17" xfId="12" applyFont="1" applyBorder="1" applyAlignment="1">
      <alignment horizontal="center" vertical="top" wrapText="1"/>
    </xf>
    <xf numFmtId="0" fontId="34" fillId="0" borderId="11" xfId="12" applyFont="1" applyBorder="1" applyAlignment="1">
      <alignment horizontal="center" vertical="top" wrapText="1"/>
    </xf>
    <xf numFmtId="0" fontId="34" fillId="0" borderId="9" xfId="12" applyFont="1" applyBorder="1"/>
    <xf numFmtId="0" fontId="34" fillId="0" borderId="10" xfId="12" applyFont="1" applyBorder="1"/>
    <xf numFmtId="0" fontId="34" fillId="0" borderId="0" xfId="12" applyFont="1" applyAlignment="1">
      <alignment horizontal="right"/>
    </xf>
    <xf numFmtId="0" fontId="34" fillId="4" borderId="0" xfId="1" applyNumberFormat="1" applyFont="1" applyFill="1" applyAlignment="1">
      <alignment horizontal="center"/>
    </xf>
    <xf numFmtId="10" fontId="34" fillId="0" borderId="0" xfId="4" applyNumberFormat="1" applyFont="1" applyFill="1"/>
    <xf numFmtId="165" fontId="34" fillId="0" borderId="9" xfId="1" applyNumberFormat="1" applyFont="1" applyFill="1" applyBorder="1"/>
    <xf numFmtId="165" fontId="34" fillId="0" borderId="0" xfId="1" applyNumberFormat="1" applyFont="1" applyFill="1" applyBorder="1"/>
    <xf numFmtId="165" fontId="34" fillId="0" borderId="10" xfId="1" applyNumberFormat="1" applyFont="1" applyFill="1" applyBorder="1"/>
    <xf numFmtId="165" fontId="34" fillId="4" borderId="0" xfId="1" applyNumberFormat="1" applyFont="1" applyFill="1" applyBorder="1"/>
    <xf numFmtId="165" fontId="34" fillId="10" borderId="0" xfId="1" applyNumberFormat="1" applyFont="1" applyFill="1" applyBorder="1"/>
    <xf numFmtId="165" fontId="34" fillId="10" borderId="10" xfId="1" applyNumberFormat="1" applyFont="1" applyFill="1" applyBorder="1"/>
    <xf numFmtId="165" fontId="34" fillId="0" borderId="17" xfId="1" applyNumberFormat="1" applyFont="1" applyFill="1" applyBorder="1"/>
    <xf numFmtId="165" fontId="34" fillId="0" borderId="3" xfId="1" applyNumberFormat="1" applyFont="1" applyFill="1" applyBorder="1"/>
    <xf numFmtId="165" fontId="34" fillId="4" borderId="3" xfId="1" applyNumberFormat="1" applyFont="1" applyFill="1" applyBorder="1"/>
    <xf numFmtId="165" fontId="34" fillId="0" borderId="0" xfId="1" applyNumberFormat="1" applyFont="1" applyFill="1"/>
    <xf numFmtId="165" fontId="34" fillId="0" borderId="4" xfId="1" applyNumberFormat="1" applyFont="1" applyFill="1" applyBorder="1"/>
    <xf numFmtId="165" fontId="34" fillId="0" borderId="50" xfId="1" applyNumberFormat="1" applyFont="1" applyFill="1" applyBorder="1"/>
    <xf numFmtId="165" fontId="34" fillId="0" borderId="12" xfId="1" applyNumberFormat="1" applyFont="1" applyFill="1" applyBorder="1"/>
    <xf numFmtId="165" fontId="34" fillId="0" borderId="1" xfId="1" applyNumberFormat="1" applyFont="1" applyFill="1" applyBorder="1"/>
    <xf numFmtId="165" fontId="34" fillId="0" borderId="51" xfId="1" applyNumberFormat="1" applyFont="1" applyFill="1" applyBorder="1"/>
    <xf numFmtId="165" fontId="34" fillId="0" borderId="52" xfId="1" applyNumberFormat="1" applyFont="1" applyFill="1" applyBorder="1"/>
    <xf numFmtId="165" fontId="34" fillId="0" borderId="53" xfId="1" applyNumberFormat="1" applyFont="1" applyFill="1" applyBorder="1"/>
    <xf numFmtId="165" fontId="34" fillId="0" borderId="0" xfId="1" applyNumberFormat="1" applyFont="1"/>
    <xf numFmtId="0" fontId="35" fillId="0" borderId="0" xfId="12" applyFont="1"/>
    <xf numFmtId="41" fontId="34" fillId="0" borderId="0" xfId="12" applyNumberFormat="1" applyFont="1" applyAlignment="1">
      <alignment horizontal="center"/>
    </xf>
    <xf numFmtId="0" fontId="35" fillId="0" borderId="0" xfId="12" applyFont="1" applyAlignment="1">
      <alignment horizontal="right"/>
    </xf>
    <xf numFmtId="0" fontId="36" fillId="0" borderId="0" xfId="16" applyFont="1"/>
    <xf numFmtId="164" fontId="13" fillId="0" borderId="0" xfId="0" applyFont="1" applyAlignment="1">
      <alignment horizontal="center"/>
    </xf>
    <xf numFmtId="164" fontId="0" fillId="0" borderId="0" xfId="0" applyAlignment="1">
      <alignment horizontal="center"/>
    </xf>
    <xf numFmtId="0" fontId="38" fillId="0" borderId="0" xfId="16" applyFont="1" applyAlignment="1">
      <alignment horizontal="center"/>
    </xf>
    <xf numFmtId="49" fontId="38" fillId="0" borderId="0" xfId="16" applyNumberFormat="1" applyFont="1" applyAlignment="1">
      <alignment horizontal="center"/>
    </xf>
    <xf numFmtId="165" fontId="38" fillId="0" borderId="0" xfId="17" applyNumberFormat="1" applyFont="1" applyAlignment="1">
      <alignment horizontal="center"/>
    </xf>
    <xf numFmtId="10" fontId="38" fillId="0" borderId="0" xfId="18" applyNumberFormat="1" applyFont="1" applyAlignment="1">
      <alignment horizontal="center"/>
    </xf>
    <xf numFmtId="49" fontId="38" fillId="0" borderId="0" xfId="16" applyNumberFormat="1" applyFont="1" applyAlignment="1">
      <alignment horizontal="center" wrapText="1"/>
    </xf>
    <xf numFmtId="49" fontId="38" fillId="0" borderId="0" xfId="17" applyNumberFormat="1" applyFont="1" applyBorder="1" applyAlignment="1">
      <alignment horizontal="center" wrapText="1"/>
    </xf>
    <xf numFmtId="0" fontId="36" fillId="0" borderId="0" xfId="16" applyFont="1" applyAlignment="1">
      <alignment horizontal="center" wrapText="1"/>
    </xf>
    <xf numFmtId="0" fontId="38" fillId="4" borderId="0" xfId="16" applyFont="1" applyFill="1" applyAlignment="1">
      <alignment horizontal="center" wrapText="1"/>
    </xf>
    <xf numFmtId="0" fontId="38" fillId="4" borderId="0" xfId="17" applyNumberFormat="1" applyFont="1" applyFill="1" applyBorder="1" applyAlignment="1">
      <alignment horizontal="center" wrapText="1"/>
    </xf>
    <xf numFmtId="49" fontId="36" fillId="4" borderId="54" xfId="17" applyNumberFormat="1" applyFont="1" applyFill="1" applyBorder="1" applyAlignment="1">
      <alignment horizontal="left"/>
    </xf>
    <xf numFmtId="165" fontId="36" fillId="4" borderId="54" xfId="17" applyNumberFormat="1" applyFont="1" applyFill="1" applyBorder="1"/>
    <xf numFmtId="165" fontId="36" fillId="0" borderId="55" xfId="17" applyNumberFormat="1" applyFont="1" applyBorder="1"/>
    <xf numFmtId="165" fontId="36" fillId="0" borderId="54" xfId="17" applyNumberFormat="1" applyFont="1" applyBorder="1"/>
    <xf numFmtId="10" fontId="36" fillId="4" borderId="54" xfId="18" applyNumberFormat="1" applyFont="1" applyFill="1" applyBorder="1"/>
    <xf numFmtId="0" fontId="36" fillId="0" borderId="54" xfId="16" applyFont="1" applyBorder="1"/>
    <xf numFmtId="165" fontId="36" fillId="0" borderId="54" xfId="16" applyNumberFormat="1" applyFont="1" applyBorder="1"/>
    <xf numFmtId="49" fontId="36" fillId="4" borderId="55" xfId="17" applyNumberFormat="1" applyFont="1" applyFill="1" applyBorder="1"/>
    <xf numFmtId="165" fontId="36" fillId="4" borderId="55" xfId="17" applyNumberFormat="1" applyFont="1" applyFill="1" applyBorder="1"/>
    <xf numFmtId="10" fontId="36" fillId="4" borderId="55" xfId="18" applyNumberFormat="1" applyFont="1" applyFill="1" applyBorder="1"/>
    <xf numFmtId="0" fontId="36" fillId="0" borderId="55" xfId="16" applyFont="1" applyBorder="1"/>
    <xf numFmtId="49" fontId="36" fillId="0" borderId="0" xfId="16" applyNumberFormat="1" applyFont="1"/>
    <xf numFmtId="165" fontId="36" fillId="0" borderId="0" xfId="17" applyNumberFormat="1" applyFont="1" applyBorder="1" applyAlignment="1"/>
    <xf numFmtId="179" fontId="36" fillId="0" borderId="56" xfId="19" applyNumberFormat="1" applyFont="1" applyBorder="1" applyAlignment="1"/>
    <xf numFmtId="165" fontId="36" fillId="0" borderId="56" xfId="17" applyNumberFormat="1" applyFont="1" applyBorder="1" applyAlignment="1"/>
    <xf numFmtId="179" fontId="38" fillId="0" borderId="57" xfId="19" applyNumberFormat="1" applyFont="1" applyBorder="1" applyAlignment="1"/>
    <xf numFmtId="165" fontId="36" fillId="0" borderId="0" xfId="17" applyNumberFormat="1" applyFont="1"/>
    <xf numFmtId="10" fontId="36" fillId="0" borderId="0" xfId="18" applyNumberFormat="1" applyFont="1"/>
    <xf numFmtId="49" fontId="36" fillId="0" borderId="0" xfId="16" applyNumberFormat="1" applyFont="1" applyAlignment="1">
      <alignment horizontal="right"/>
    </xf>
    <xf numFmtId="49" fontId="36" fillId="0" borderId="0" xfId="17" applyNumberFormat="1" applyFont="1" applyAlignment="1">
      <alignment horizontal="right"/>
    </xf>
    <xf numFmtId="49" fontId="36" fillId="0" borderId="0" xfId="17" applyNumberFormat="1" applyFont="1" applyAlignment="1">
      <alignment vertical="top" wrapText="1"/>
    </xf>
    <xf numFmtId="49" fontId="36" fillId="0" borderId="0" xfId="17" applyNumberFormat="1" applyFont="1" applyAlignment="1">
      <alignment horizontal="left" vertical="top" wrapText="1"/>
    </xf>
    <xf numFmtId="49" fontId="36" fillId="0" borderId="0" xfId="16" applyNumberFormat="1" applyFont="1" applyAlignment="1">
      <alignment vertical="top" wrapText="1"/>
    </xf>
    <xf numFmtId="164" fontId="39" fillId="0" borderId="0" xfId="0" applyFont="1" applyAlignment="1">
      <alignment vertical="center"/>
    </xf>
    <xf numFmtId="0" fontId="40" fillId="0" borderId="0" xfId="16" applyFont="1"/>
    <xf numFmtId="0" fontId="41" fillId="0" borderId="0" xfId="16" applyFont="1" applyAlignment="1">
      <alignment horizontal="center"/>
    </xf>
    <xf numFmtId="165" fontId="41" fillId="0" borderId="0" xfId="17" applyNumberFormat="1" applyFont="1" applyAlignment="1">
      <alignment horizontal="center"/>
    </xf>
    <xf numFmtId="10" fontId="41" fillId="0" borderId="0" xfId="18" applyNumberFormat="1" applyFont="1" applyAlignment="1">
      <alignment horizontal="center"/>
    </xf>
    <xf numFmtId="0" fontId="41" fillId="0" borderId="0" xfId="16" applyFont="1" applyAlignment="1">
      <alignment horizontal="center" wrapText="1"/>
    </xf>
    <xf numFmtId="49" fontId="41" fillId="0" borderId="0" xfId="16" applyNumberFormat="1" applyFont="1" applyAlignment="1">
      <alignment horizontal="center" wrapText="1"/>
    </xf>
    <xf numFmtId="49" fontId="41" fillId="0" borderId="0" xfId="17" applyNumberFormat="1" applyFont="1" applyBorder="1" applyAlignment="1">
      <alignment horizontal="center" wrapText="1"/>
    </xf>
    <xf numFmtId="0" fontId="40" fillId="0" borderId="0" xfId="16" applyFont="1" applyAlignment="1">
      <alignment horizontal="center" wrapText="1"/>
    </xf>
    <xf numFmtId="0" fontId="41" fillId="0" borderId="3" xfId="16" applyFont="1" applyBorder="1" applyAlignment="1">
      <alignment horizontal="center" wrapText="1"/>
    </xf>
    <xf numFmtId="1" fontId="41" fillId="4" borderId="3" xfId="1" applyNumberFormat="1" applyFont="1" applyFill="1" applyBorder="1" applyAlignment="1">
      <alignment horizontal="center" wrapText="1"/>
    </xf>
    <xf numFmtId="0" fontId="40" fillId="0" borderId="54" xfId="16" applyFont="1" applyBorder="1"/>
    <xf numFmtId="0" fontId="40" fillId="4" borderId="55" xfId="16" applyFont="1" applyFill="1" applyBorder="1"/>
    <xf numFmtId="0" fontId="40" fillId="4" borderId="54" xfId="16" applyFont="1" applyFill="1" applyBorder="1"/>
    <xf numFmtId="14" fontId="40" fillId="4" borderId="54" xfId="16" applyNumberFormat="1" applyFont="1" applyFill="1" applyBorder="1"/>
    <xf numFmtId="0" fontId="40" fillId="4" borderId="55" xfId="16" applyFont="1" applyFill="1" applyBorder="1" applyAlignment="1">
      <alignment horizontal="right"/>
    </xf>
    <xf numFmtId="165" fontId="40" fillId="4" borderId="54" xfId="17" applyNumberFormat="1" applyFont="1" applyFill="1" applyBorder="1"/>
    <xf numFmtId="165" fontId="7" fillId="2" borderId="0" xfId="7" applyNumberFormat="1" applyFont="1" applyFill="1" applyBorder="1" applyAlignment="1"/>
    <xf numFmtId="165" fontId="40" fillId="0" borderId="54" xfId="17" applyNumberFormat="1" applyFont="1" applyBorder="1"/>
    <xf numFmtId="165" fontId="40" fillId="0" borderId="54" xfId="17" applyNumberFormat="1" applyFont="1" applyBorder="1" applyAlignment="1"/>
    <xf numFmtId="43" fontId="40" fillId="4" borderId="54" xfId="1" applyFont="1" applyFill="1" applyBorder="1"/>
    <xf numFmtId="165" fontId="40" fillId="0" borderId="54" xfId="16" applyNumberFormat="1" applyFont="1" applyBorder="1"/>
    <xf numFmtId="0" fontId="40" fillId="0" borderId="55" xfId="16" applyFont="1" applyBorder="1"/>
    <xf numFmtId="0" fontId="40" fillId="4" borderId="58" xfId="16" applyFont="1" applyFill="1" applyBorder="1"/>
    <xf numFmtId="165" fontId="40" fillId="4" borderId="55" xfId="17" applyNumberFormat="1" applyFont="1" applyFill="1" applyBorder="1"/>
    <xf numFmtId="165" fontId="40" fillId="0" borderId="55" xfId="17" applyNumberFormat="1" applyFont="1" applyBorder="1"/>
    <xf numFmtId="165" fontId="40" fillId="0" borderId="55" xfId="17" applyNumberFormat="1" applyFont="1" applyBorder="1" applyAlignment="1"/>
    <xf numFmtId="165" fontId="40" fillId="4" borderId="55" xfId="1" applyNumberFormat="1" applyFont="1" applyFill="1" applyBorder="1"/>
    <xf numFmtId="165" fontId="40" fillId="0" borderId="55" xfId="16" applyNumberFormat="1" applyFont="1" applyBorder="1"/>
    <xf numFmtId="165" fontId="40" fillId="4" borderId="55" xfId="17" applyNumberFormat="1" applyFont="1" applyFill="1" applyBorder="1" applyAlignment="1"/>
    <xf numFmtId="165" fontId="40" fillId="4" borderId="55" xfId="17" applyNumberFormat="1" applyFont="1" applyFill="1" applyBorder="1" applyAlignment="1">
      <alignment horizontal="center"/>
    </xf>
    <xf numFmtId="165" fontId="40" fillId="0" borderId="57" xfId="16" applyNumberFormat="1" applyFont="1" applyBorder="1"/>
    <xf numFmtId="165" fontId="40" fillId="0" borderId="0" xfId="17" applyNumberFormat="1" applyFont="1" applyAlignment="1"/>
    <xf numFmtId="165" fontId="40" fillId="0" borderId="0" xfId="17" applyNumberFormat="1" applyFont="1"/>
    <xf numFmtId="165" fontId="40" fillId="0" borderId="56" xfId="17" applyNumberFormat="1" applyFont="1" applyBorder="1" applyAlignment="1"/>
    <xf numFmtId="43" fontId="40" fillId="0" borderId="0" xfId="17" applyFont="1" applyBorder="1" applyAlignment="1"/>
    <xf numFmtId="179" fontId="40" fillId="0" borderId="0" xfId="19" applyNumberFormat="1" applyFont="1" applyBorder="1" applyAlignment="1"/>
    <xf numFmtId="0" fontId="40" fillId="0" borderId="0" xfId="16" applyFont="1" applyAlignment="1">
      <alignment horizontal="center"/>
    </xf>
    <xf numFmtId="10" fontId="40" fillId="0" borderId="0" xfId="18" applyNumberFormat="1" applyFont="1"/>
    <xf numFmtId="43" fontId="40" fillId="0" borderId="0" xfId="17" applyFont="1"/>
    <xf numFmtId="49" fontId="40" fillId="0" borderId="0" xfId="16" applyNumberFormat="1" applyFont="1"/>
    <xf numFmtId="49" fontId="40" fillId="0" borderId="0" xfId="16" applyNumberFormat="1" applyFont="1" applyAlignment="1">
      <alignment horizontal="right"/>
    </xf>
    <xf numFmtId="49" fontId="40" fillId="0" borderId="0" xfId="16" applyNumberFormat="1" applyFont="1" applyAlignment="1">
      <alignment horizontal="right" vertical="top"/>
    </xf>
    <xf numFmtId="0" fontId="40" fillId="0" borderId="0" xfId="16" applyFont="1" applyAlignment="1">
      <alignment vertical="top"/>
    </xf>
    <xf numFmtId="0" fontId="40" fillId="0" borderId="0" xfId="16" applyFont="1" applyAlignment="1">
      <alignment vertical="top" wrapText="1"/>
    </xf>
    <xf numFmtId="0" fontId="40" fillId="0" borderId="0" xfId="16" applyFont="1" applyAlignment="1">
      <alignment horizontal="left" vertical="top"/>
    </xf>
    <xf numFmtId="0" fontId="40" fillId="0" borderId="0" xfId="16" applyFont="1" applyAlignment="1">
      <alignment horizontal="left" vertical="top" wrapText="1"/>
    </xf>
    <xf numFmtId="164" fontId="33" fillId="0" borderId="0" xfId="0" applyFont="1" applyProtection="1">
      <protection locked="0"/>
    </xf>
    <xf numFmtId="43" fontId="5" fillId="0" borderId="0" xfId="1" applyFont="1" applyFill="1"/>
    <xf numFmtId="49" fontId="3" fillId="0" borderId="0" xfId="1" applyNumberFormat="1" applyFont="1" applyFill="1"/>
    <xf numFmtId="10" fontId="3" fillId="0" borderId="0" xfId="4" applyNumberFormat="1" applyFont="1" applyFill="1" applyAlignment="1">
      <alignment horizontal="right"/>
    </xf>
    <xf numFmtId="10" fontId="0" fillId="0" borderId="0" xfId="4" applyNumberFormat="1" applyFont="1" applyAlignment="1"/>
    <xf numFmtId="49" fontId="3" fillId="0" borderId="0" xfId="1" applyNumberFormat="1" applyFont="1" applyAlignment="1"/>
    <xf numFmtId="10" fontId="3" fillId="0" borderId="0" xfId="4" applyNumberFormat="1" applyFont="1" applyAlignment="1"/>
    <xf numFmtId="2" fontId="3" fillId="0" borderId="0" xfId="0" applyNumberFormat="1" applyFont="1"/>
    <xf numFmtId="49" fontId="40" fillId="0" borderId="0" xfId="16" applyNumberFormat="1" applyFont="1" applyAlignment="1">
      <alignment horizontal="center"/>
    </xf>
    <xf numFmtId="165" fontId="40" fillId="0" borderId="0" xfId="17" applyNumberFormat="1" applyFont="1" applyAlignment="1">
      <alignment horizontal="center"/>
    </xf>
    <xf numFmtId="10" fontId="40" fillId="0" borderId="0" xfId="18" applyNumberFormat="1" applyFont="1" applyAlignment="1">
      <alignment horizontal="center"/>
    </xf>
    <xf numFmtId="49" fontId="40" fillId="0" borderId="0" xfId="16" applyNumberFormat="1" applyFont="1" applyAlignment="1">
      <alignment horizontal="center" wrapText="1"/>
    </xf>
    <xf numFmtId="49" fontId="40" fillId="0" borderId="0" xfId="17" applyNumberFormat="1" applyFont="1" applyBorder="1" applyAlignment="1">
      <alignment horizontal="center" wrapText="1"/>
    </xf>
    <xf numFmtId="1" fontId="40" fillId="4" borderId="0" xfId="16" applyNumberFormat="1" applyFont="1" applyFill="1" applyAlignment="1">
      <alignment horizontal="center" wrapText="1"/>
    </xf>
    <xf numFmtId="49" fontId="40" fillId="4" borderId="54" xfId="17" applyNumberFormat="1" applyFont="1" applyFill="1" applyBorder="1" applyAlignment="1">
      <alignment horizontal="left"/>
    </xf>
    <xf numFmtId="165" fontId="3" fillId="4" borderId="54" xfId="17" applyNumberFormat="1" applyFont="1" applyFill="1" applyBorder="1"/>
    <xf numFmtId="49" fontId="40" fillId="4" borderId="55" xfId="17" applyNumberFormat="1" applyFont="1" applyFill="1" applyBorder="1"/>
    <xf numFmtId="165" fontId="40" fillId="0" borderId="56" xfId="17" applyNumberFormat="1" applyFont="1" applyBorder="1"/>
    <xf numFmtId="165" fontId="40" fillId="4" borderId="56" xfId="17" applyNumberFormat="1" applyFont="1" applyFill="1" applyBorder="1"/>
    <xf numFmtId="165" fontId="40" fillId="0" borderId="4" xfId="17" applyNumberFormat="1" applyFont="1" applyBorder="1" applyAlignment="1">
      <alignment horizontal="right"/>
    </xf>
    <xf numFmtId="179" fontId="40" fillId="0" borderId="4" xfId="19" applyNumberFormat="1" applyFont="1" applyBorder="1" applyAlignment="1"/>
    <xf numFmtId="165" fontId="40" fillId="0" borderId="0" xfId="17" applyNumberFormat="1" applyFont="1" applyBorder="1" applyAlignment="1"/>
    <xf numFmtId="49" fontId="40" fillId="0" borderId="0" xfId="16" applyNumberFormat="1" applyFont="1" applyAlignment="1">
      <alignment vertical="top" wrapText="1"/>
    </xf>
    <xf numFmtId="49" fontId="40" fillId="0" borderId="0" xfId="16" applyNumberFormat="1" applyFont="1" applyAlignment="1">
      <alignment vertical="top"/>
    </xf>
    <xf numFmtId="49" fontId="40" fillId="0" borderId="0" xfId="17" applyNumberFormat="1" applyFont="1" applyAlignment="1">
      <alignment horizontal="right"/>
    </xf>
    <xf numFmtId="49" fontId="40" fillId="0" borderId="0" xfId="17" applyNumberFormat="1" applyFont="1" applyAlignment="1">
      <alignment horizontal="right" vertical="top" wrapText="1"/>
    </xf>
    <xf numFmtId="49" fontId="40" fillId="0" borderId="0" xfId="17" applyNumberFormat="1" applyFont="1" applyAlignment="1">
      <alignment vertical="top" wrapText="1"/>
    </xf>
    <xf numFmtId="0" fontId="36" fillId="0" borderId="0" xfId="16" applyFont="1" applyAlignment="1">
      <alignment horizontal="right"/>
    </xf>
    <xf numFmtId="0" fontId="40" fillId="0" borderId="0" xfId="16" applyFont="1" applyAlignment="1">
      <alignment horizontal="right"/>
    </xf>
    <xf numFmtId="0" fontId="41" fillId="4" borderId="0" xfId="17" applyNumberFormat="1" applyFont="1" applyFill="1" applyBorder="1" applyAlignment="1">
      <alignment horizontal="center" wrapText="1"/>
    </xf>
    <xf numFmtId="0" fontId="40" fillId="0" borderId="58" xfId="16" applyFont="1" applyBorder="1"/>
    <xf numFmtId="165" fontId="40" fillId="4" borderId="58" xfId="1" applyNumberFormat="1" applyFont="1" applyFill="1" applyBorder="1"/>
    <xf numFmtId="165" fontId="40" fillId="0" borderId="58" xfId="1" applyNumberFormat="1" applyFont="1" applyBorder="1" applyAlignment="1"/>
    <xf numFmtId="165" fontId="40" fillId="0" borderId="55" xfId="1" applyNumberFormat="1" applyFont="1" applyBorder="1"/>
    <xf numFmtId="165" fontId="40" fillId="0" borderId="55" xfId="1" applyNumberFormat="1" applyFont="1" applyBorder="1" applyAlignment="1"/>
    <xf numFmtId="166" fontId="40" fillId="4" borderId="55" xfId="1" applyNumberFormat="1" applyFont="1" applyFill="1" applyBorder="1"/>
    <xf numFmtId="165" fontId="40" fillId="0" borderId="58" xfId="1" applyNumberFormat="1" applyFont="1" applyBorder="1"/>
    <xf numFmtId="165" fontId="40" fillId="0" borderId="55" xfId="1" applyNumberFormat="1" applyFont="1" applyBorder="1" applyAlignment="1">
      <alignment horizontal="center"/>
    </xf>
    <xf numFmtId="9" fontId="40" fillId="4" borderId="55" xfId="4" applyFont="1" applyFill="1" applyBorder="1"/>
    <xf numFmtId="165" fontId="40" fillId="4" borderId="55" xfId="1" applyNumberFormat="1" applyFont="1" applyFill="1" applyBorder="1" applyAlignment="1"/>
    <xf numFmtId="178" fontId="40" fillId="0" borderId="55" xfId="1" applyNumberFormat="1" applyFont="1" applyBorder="1"/>
    <xf numFmtId="0" fontId="19" fillId="4" borderId="55" xfId="16" applyFont="1" applyFill="1" applyBorder="1" applyAlignment="1">
      <alignment horizontal="right"/>
    </xf>
    <xf numFmtId="165" fontId="40" fillId="0" borderId="58" xfId="17" applyNumberFormat="1" applyFont="1" applyBorder="1"/>
    <xf numFmtId="0" fontId="40" fillId="0" borderId="55" xfId="16" applyFont="1" applyBorder="1" applyAlignment="1">
      <alignment horizontal="center"/>
    </xf>
    <xf numFmtId="10" fontId="40" fillId="4" borderId="55" xfId="18" applyNumberFormat="1" applyFont="1" applyFill="1" applyBorder="1"/>
    <xf numFmtId="43" fontId="40" fillId="4" borderId="55" xfId="1" applyFont="1" applyFill="1" applyBorder="1" applyAlignment="1"/>
    <xf numFmtId="43" fontId="40" fillId="0" borderId="55" xfId="17" applyFont="1" applyBorder="1"/>
    <xf numFmtId="0" fontId="40" fillId="0" borderId="56" xfId="16" applyFont="1" applyBorder="1"/>
    <xf numFmtId="0" fontId="40" fillId="0" borderId="56" xfId="16" applyFont="1" applyBorder="1" applyAlignment="1">
      <alignment horizontal="center"/>
    </xf>
    <xf numFmtId="10" fontId="40" fillId="4" borderId="56" xfId="18" applyNumberFormat="1" applyFont="1" applyFill="1" applyBorder="1"/>
    <xf numFmtId="43" fontId="40" fillId="4" borderId="56" xfId="1" applyFont="1" applyFill="1" applyBorder="1" applyAlignment="1"/>
    <xf numFmtId="43" fontId="40" fillId="0" borderId="56" xfId="17" applyFont="1" applyBorder="1"/>
    <xf numFmtId="165" fontId="40" fillId="4" borderId="56" xfId="1" applyNumberFormat="1" applyFont="1" applyFill="1" applyBorder="1"/>
    <xf numFmtId="178" fontId="40" fillId="0" borderId="56" xfId="1" applyNumberFormat="1" applyFont="1" applyBorder="1"/>
    <xf numFmtId="165" fontId="40" fillId="4" borderId="56" xfId="16" applyNumberFormat="1" applyFont="1" applyFill="1" applyBorder="1" applyAlignment="1">
      <alignment horizontal="right"/>
    </xf>
    <xf numFmtId="165" fontId="40" fillId="0" borderId="56" xfId="16" applyNumberFormat="1" applyFont="1" applyBorder="1"/>
    <xf numFmtId="0" fontId="40" fillId="4" borderId="56" xfId="16" applyFont="1" applyFill="1" applyBorder="1" applyAlignment="1">
      <alignment horizontal="right"/>
    </xf>
    <xf numFmtId="179" fontId="40" fillId="0" borderId="4" xfId="19" applyNumberFormat="1" applyFont="1" applyBorder="1"/>
    <xf numFmtId="165" fontId="40" fillId="0" borderId="0" xfId="16" applyNumberFormat="1" applyFont="1"/>
    <xf numFmtId="0" fontId="40" fillId="0" borderId="0" xfId="16" applyFont="1" applyAlignment="1">
      <alignment horizontal="left"/>
    </xf>
    <xf numFmtId="43" fontId="40" fillId="0" borderId="4" xfId="17" applyFont="1" applyBorder="1" applyAlignment="1"/>
    <xf numFmtId="43" fontId="40" fillId="0" borderId="0" xfId="16" applyNumberFormat="1" applyFont="1"/>
    <xf numFmtId="0" fontId="19" fillId="0" borderId="0" xfId="16" applyFont="1" applyAlignment="1">
      <alignment vertical="top"/>
    </xf>
    <xf numFmtId="49" fontId="40" fillId="0" borderId="0" xfId="16" applyNumberFormat="1" applyFont="1" applyAlignment="1">
      <alignment horizontal="right" vertical="top" wrapText="1"/>
    </xf>
    <xf numFmtId="165" fontId="40" fillId="0" borderId="0" xfId="16" applyNumberFormat="1" applyFont="1" applyAlignment="1">
      <alignment vertical="top" wrapText="1"/>
    </xf>
    <xf numFmtId="0" fontId="36" fillId="0" borderId="0" xfId="16" applyFont="1" applyAlignment="1">
      <alignment horizontal="center"/>
    </xf>
    <xf numFmtId="165" fontId="36" fillId="0" borderId="0" xfId="17" applyNumberFormat="1" applyFont="1" applyAlignment="1"/>
    <xf numFmtId="0" fontId="44" fillId="0" borderId="0" xfId="6" applyFont="1"/>
    <xf numFmtId="0" fontId="45" fillId="0" borderId="0" xfId="6" applyFont="1"/>
    <xf numFmtId="164" fontId="44" fillId="0" borderId="0" xfId="0" applyFont="1"/>
    <xf numFmtId="164" fontId="45" fillId="0" borderId="0" xfId="0" applyFont="1"/>
    <xf numFmtId="164" fontId="44" fillId="0" borderId="0" xfId="0" applyFont="1" applyAlignment="1">
      <alignment horizontal="center"/>
    </xf>
    <xf numFmtId="164" fontId="45" fillId="0" borderId="0" xfId="0" applyFont="1" applyAlignment="1">
      <alignment horizontal="left" vertical="center"/>
    </xf>
    <xf numFmtId="1" fontId="44" fillId="3" borderId="0" xfId="0" applyNumberFormat="1" applyFont="1" applyFill="1" applyAlignment="1">
      <alignment horizontal="center" vertical="center"/>
    </xf>
    <xf numFmtId="1" fontId="44" fillId="0" borderId="0" xfId="0" applyNumberFormat="1" applyFont="1" applyAlignment="1">
      <alignment horizontal="center" vertical="center"/>
    </xf>
    <xf numFmtId="0" fontId="44" fillId="0" borderId="0" xfId="0" applyNumberFormat="1" applyFont="1" applyAlignment="1">
      <alignment horizontal="center" vertical="center"/>
    </xf>
    <xf numFmtId="164" fontId="44" fillId="0" borderId="0" xfId="0" applyFont="1" applyAlignment="1">
      <alignment horizontal="center" vertical="center"/>
    </xf>
    <xf numFmtId="165" fontId="44" fillId="0" borderId="0" xfId="1" applyNumberFormat="1" applyFont="1" applyFill="1" applyAlignment="1">
      <alignment horizontal="center" vertical="center"/>
    </xf>
    <xf numFmtId="165" fontId="44" fillId="3" borderId="0" xfId="1" applyNumberFormat="1" applyFont="1" applyFill="1" applyAlignment="1"/>
    <xf numFmtId="164" fontId="34" fillId="0" borderId="0" xfId="0" applyFont="1"/>
    <xf numFmtId="0" fontId="34" fillId="0" borderId="0" xfId="0" quotePrefix="1" applyNumberFormat="1" applyFont="1" applyAlignment="1">
      <alignment horizontal="center" vertical="top" wrapText="1"/>
    </xf>
    <xf numFmtId="164" fontId="3" fillId="0" borderId="0" xfId="0" applyFont="1" applyAlignment="1">
      <alignment horizontal="left" vertical="top" wrapText="1"/>
    </xf>
    <xf numFmtId="0" fontId="3" fillId="0" borderId="0" xfId="5" applyFont="1" applyAlignment="1" applyProtection="1">
      <alignment horizontal="left" wrapText="1"/>
      <protection locked="0"/>
    </xf>
    <xf numFmtId="164" fontId="3" fillId="0" borderId="0" xfId="0" applyFont="1" applyAlignment="1">
      <alignment horizontal="left" wrapText="1"/>
    </xf>
    <xf numFmtId="164" fontId="3" fillId="0" borderId="0" xfId="0" applyFont="1" applyAlignment="1">
      <alignment vertical="top" wrapText="1"/>
    </xf>
    <xf numFmtId="0" fontId="3" fillId="0" borderId="0" xfId="5" applyFont="1" applyAlignment="1">
      <alignment horizontal="left" wrapText="1"/>
    </xf>
    <xf numFmtId="0" fontId="5" fillId="0" borderId="0" xfId="5" applyFont="1" applyAlignment="1">
      <alignment horizontal="center"/>
    </xf>
    <xf numFmtId="164" fontId="13" fillId="0" borderId="0" xfId="0" applyFont="1" applyAlignment="1">
      <alignment horizontal="center"/>
    </xf>
    <xf numFmtId="164" fontId="3" fillId="0" borderId="0" xfId="0" applyFont="1" applyAlignment="1">
      <alignment horizontal="center"/>
    </xf>
    <xf numFmtId="0" fontId="3" fillId="0" borderId="0" xfId="5" applyFont="1" applyAlignment="1" applyProtection="1">
      <alignment horizontal="left"/>
      <protection locked="0"/>
    </xf>
    <xf numFmtId="49" fontId="3" fillId="0" borderId="0" xfId="0" applyNumberFormat="1" applyFont="1" applyAlignment="1">
      <alignment horizontal="left" wrapText="1"/>
    </xf>
    <xf numFmtId="164" fontId="2" fillId="0" borderId="0" xfId="0" applyFont="1"/>
    <xf numFmtId="164" fontId="2" fillId="0" borderId="0" xfId="0" applyFont="1" applyAlignment="1">
      <alignment horizontal="center"/>
    </xf>
    <xf numFmtId="3" fontId="5" fillId="0" borderId="0" xfId="5" applyNumberFormat="1" applyFont="1" applyAlignment="1">
      <alignment horizontal="center"/>
    </xf>
    <xf numFmtId="3" fontId="3" fillId="0" borderId="0" xfId="5" applyNumberFormat="1" applyFont="1" applyAlignment="1">
      <alignment horizontal="center"/>
    </xf>
    <xf numFmtId="3" fontId="3" fillId="0" borderId="0" xfId="5" applyNumberFormat="1" applyFont="1" applyAlignment="1">
      <alignment horizontal="left" wrapText="1"/>
    </xf>
    <xf numFmtId="0" fontId="3" fillId="0" borderId="0" xfId="6" applyFont="1" applyAlignment="1">
      <alignment horizontal="center"/>
    </xf>
    <xf numFmtId="0" fontId="5" fillId="0" borderId="0" xfId="6" applyFont="1"/>
    <xf numFmtId="164" fontId="0" fillId="0" borderId="0" xfId="0"/>
    <xf numFmtId="0" fontId="3" fillId="0" borderId="0" xfId="6" applyFont="1" applyAlignment="1">
      <alignment horizontal="left" vertical="top" wrapText="1"/>
    </xf>
    <xf numFmtId="0" fontId="12" fillId="5" borderId="6" xfId="6" applyFont="1" applyFill="1" applyBorder="1" applyAlignment="1">
      <alignment horizontal="center"/>
    </xf>
    <xf numFmtId="0" fontId="12" fillId="5" borderId="7" xfId="6" applyFont="1" applyFill="1" applyBorder="1" applyAlignment="1">
      <alignment horizontal="center"/>
    </xf>
    <xf numFmtId="0" fontId="12" fillId="5" borderId="8" xfId="6" applyFont="1" applyFill="1" applyBorder="1" applyAlignment="1">
      <alignment horizontal="center"/>
    </xf>
    <xf numFmtId="0" fontId="20" fillId="5" borderId="0" xfId="6" applyFont="1" applyFill="1" applyAlignment="1">
      <alignment horizontal="center" wrapText="1"/>
    </xf>
    <xf numFmtId="0" fontId="7" fillId="0" borderId="0" xfId="6" applyAlignment="1">
      <alignment horizontal="center" wrapText="1"/>
    </xf>
    <xf numFmtId="0" fontId="6" fillId="0" borderId="0" xfId="6" applyFont="1" applyAlignment="1">
      <alignment horizontal="center"/>
    </xf>
    <xf numFmtId="0" fontId="5" fillId="0" borderId="0" xfId="6" applyFont="1" applyAlignment="1">
      <alignment horizontal="center"/>
    </xf>
    <xf numFmtId="0" fontId="3" fillId="0" borderId="0" xfId="6" applyFont="1"/>
    <xf numFmtId="0" fontId="23" fillId="5" borderId="6" xfId="6" applyFont="1" applyFill="1" applyBorder="1" applyAlignment="1">
      <alignment horizontal="center"/>
    </xf>
    <xf numFmtId="0" fontId="23" fillId="5" borderId="7" xfId="6" applyFont="1" applyFill="1" applyBorder="1" applyAlignment="1">
      <alignment horizontal="center"/>
    </xf>
    <xf numFmtId="0" fontId="23" fillId="5" borderId="7" xfId="6" applyFont="1" applyFill="1" applyBorder="1" applyAlignment="1">
      <alignment horizontal="center" wrapText="1"/>
    </xf>
    <xf numFmtId="0" fontId="12" fillId="5" borderId="7" xfId="6" applyFont="1" applyFill="1" applyBorder="1" applyAlignment="1">
      <alignment horizontal="center" wrapText="1"/>
    </xf>
    <xf numFmtId="0" fontId="12" fillId="5" borderId="8" xfId="6" applyFont="1" applyFill="1" applyBorder="1" applyAlignment="1">
      <alignment horizontal="center" wrapText="1"/>
    </xf>
    <xf numFmtId="0" fontId="5" fillId="0" borderId="0" xfId="6" applyFont="1" applyAlignment="1">
      <alignment horizontal="center" wrapText="1"/>
    </xf>
    <xf numFmtId="0" fontId="3" fillId="0" borderId="0" xfId="6" applyFont="1" applyAlignment="1">
      <alignment horizontal="center" wrapText="1"/>
    </xf>
    <xf numFmtId="0" fontId="3" fillId="0" borderId="10" xfId="6" applyFont="1" applyBorder="1" applyAlignment="1">
      <alignment horizontal="center" wrapText="1"/>
    </xf>
    <xf numFmtId="0" fontId="3" fillId="0" borderId="7" xfId="6" applyFont="1" applyBorder="1" applyAlignment="1">
      <alignment horizontal="center" wrapText="1"/>
    </xf>
    <xf numFmtId="0" fontId="3" fillId="0" borderId="8" xfId="6" applyFont="1" applyBorder="1" applyAlignment="1">
      <alignment horizontal="center" wrapText="1"/>
    </xf>
    <xf numFmtId="0" fontId="23" fillId="0" borderId="6" xfId="6" applyFont="1" applyBorder="1" applyAlignment="1">
      <alignment horizontal="center"/>
    </xf>
    <xf numFmtId="0" fontId="23" fillId="0" borderId="7" xfId="6" applyFont="1" applyBorder="1" applyAlignment="1">
      <alignment horizontal="center"/>
    </xf>
    <xf numFmtId="0" fontId="23" fillId="0" borderId="7" xfId="6" applyFont="1" applyBorder="1" applyAlignment="1">
      <alignment horizontal="center" wrapText="1"/>
    </xf>
    <xf numFmtId="0" fontId="3" fillId="0" borderId="1" xfId="6" applyFont="1" applyBorder="1" applyAlignment="1">
      <alignment horizontal="center" wrapText="1"/>
    </xf>
    <xf numFmtId="0" fontId="3" fillId="0" borderId="13" xfId="6" applyFont="1" applyBorder="1" applyAlignment="1">
      <alignment horizontal="center" wrapText="1"/>
    </xf>
    <xf numFmtId="0" fontId="23" fillId="5" borderId="8" xfId="6" applyFont="1" applyFill="1" applyBorder="1" applyAlignment="1">
      <alignment horizontal="center"/>
    </xf>
    <xf numFmtId="0" fontId="23" fillId="5" borderId="8" xfId="6" applyFont="1" applyFill="1" applyBorder="1" applyAlignment="1">
      <alignment horizontal="center" wrapText="1"/>
    </xf>
    <xf numFmtId="0" fontId="5" fillId="0" borderId="6" xfId="6" applyFont="1" applyBorder="1" applyAlignment="1">
      <alignment horizontal="center"/>
    </xf>
    <xf numFmtId="0" fontId="5" fillId="0" borderId="7" xfId="6" applyFont="1" applyBorder="1" applyAlignment="1">
      <alignment horizontal="center"/>
    </xf>
    <xf numFmtId="0" fontId="5" fillId="0" borderId="8" xfId="6" applyFont="1" applyBorder="1" applyAlignment="1">
      <alignment horizontal="center"/>
    </xf>
    <xf numFmtId="0" fontId="5" fillId="0" borderId="7" xfId="6" applyFont="1" applyBorder="1" applyAlignment="1">
      <alignment horizontal="center" wrapText="1"/>
    </xf>
    <xf numFmtId="0" fontId="5" fillId="0" borderId="8" xfId="6" applyFont="1" applyBorder="1" applyAlignment="1">
      <alignment horizontal="center" wrapText="1"/>
    </xf>
    <xf numFmtId="0" fontId="3" fillId="5" borderId="7" xfId="6" applyFont="1" applyFill="1" applyBorder="1" applyAlignment="1">
      <alignment horizontal="center" wrapText="1"/>
    </xf>
    <xf numFmtId="0" fontId="3" fillId="5" borderId="8" xfId="6" applyFont="1" applyFill="1" applyBorder="1" applyAlignment="1">
      <alignment horizontal="center" wrapText="1"/>
    </xf>
    <xf numFmtId="0" fontId="23" fillId="5" borderId="9" xfId="6" applyFont="1" applyFill="1" applyBorder="1" applyAlignment="1">
      <alignment horizontal="center"/>
    </xf>
    <xf numFmtId="0" fontId="23" fillId="5" borderId="0" xfId="6" applyFont="1" applyFill="1" applyAlignment="1">
      <alignment horizontal="center"/>
    </xf>
    <xf numFmtId="0" fontId="23" fillId="5" borderId="0" xfId="6" applyFont="1" applyFill="1" applyAlignment="1">
      <alignment horizontal="center" wrapText="1"/>
    </xf>
    <xf numFmtId="0" fontId="23" fillId="5" borderId="14" xfId="6" applyFont="1" applyFill="1" applyBorder="1" applyAlignment="1">
      <alignment horizontal="center"/>
    </xf>
    <xf numFmtId="0" fontId="23" fillId="5" borderId="15" xfId="6" applyFont="1" applyFill="1" applyBorder="1" applyAlignment="1">
      <alignment horizontal="center"/>
    </xf>
    <xf numFmtId="0" fontId="23" fillId="5" borderId="16" xfId="6" applyFont="1" applyFill="1" applyBorder="1" applyAlignment="1">
      <alignment horizontal="center"/>
    </xf>
    <xf numFmtId="0" fontId="23" fillId="5" borderId="15" xfId="6" applyFont="1" applyFill="1" applyBorder="1" applyAlignment="1">
      <alignment horizontal="center" wrapText="1"/>
    </xf>
    <xf numFmtId="0" fontId="3" fillId="0" borderId="15" xfId="6" applyFont="1" applyBorder="1" applyAlignment="1">
      <alignment horizontal="center" wrapText="1"/>
    </xf>
    <xf numFmtId="0" fontId="3" fillId="0" borderId="16" xfId="6" applyFont="1" applyBorder="1" applyAlignment="1">
      <alignment horizontal="center" wrapText="1"/>
    </xf>
    <xf numFmtId="165" fontId="3" fillId="0" borderId="12" xfId="7" applyNumberFormat="1" applyFont="1" applyFill="1" applyBorder="1" applyAlignment="1">
      <alignment horizontal="left"/>
    </xf>
    <xf numFmtId="165" fontId="3" fillId="0" borderId="1" xfId="7" applyNumberFormat="1" applyFont="1" applyFill="1" applyBorder="1" applyAlignment="1">
      <alignment horizontal="left"/>
    </xf>
    <xf numFmtId="165" fontId="3" fillId="0" borderId="13" xfId="7" applyNumberFormat="1" applyFont="1" applyFill="1" applyBorder="1" applyAlignment="1">
      <alignment horizontal="left"/>
    </xf>
    <xf numFmtId="165" fontId="23" fillId="5" borderId="0" xfId="1" applyNumberFormat="1" applyFont="1" applyFill="1" applyBorder="1" applyAlignment="1">
      <alignment horizontal="center" wrapText="1"/>
    </xf>
    <xf numFmtId="165" fontId="12" fillId="5" borderId="0" xfId="1" applyNumberFormat="1" applyFont="1" applyFill="1" applyBorder="1" applyAlignment="1">
      <alignment horizontal="center" wrapText="1"/>
    </xf>
    <xf numFmtId="165" fontId="3" fillId="0" borderId="0" xfId="1" applyNumberFormat="1" applyFont="1" applyAlignment="1">
      <alignment horizontal="center"/>
    </xf>
    <xf numFmtId="3" fontId="6" fillId="0" borderId="0" xfId="9" applyNumberFormat="1" applyFont="1" applyAlignment="1">
      <alignment horizontal="center"/>
    </xf>
    <xf numFmtId="3" fontId="5" fillId="0" borderId="0" xfId="9" applyNumberFormat="1" applyFont="1" applyAlignment="1">
      <alignment horizontal="center"/>
    </xf>
    <xf numFmtId="164" fontId="27" fillId="8" borderId="0" xfId="14" applyFont="1" applyFill="1" applyAlignment="1">
      <alignment horizontal="left" vertical="top" wrapText="1"/>
    </xf>
    <xf numFmtId="0" fontId="3" fillId="0" borderId="0" xfId="12" applyFont="1" applyAlignment="1">
      <alignment horizontal="left"/>
    </xf>
    <xf numFmtId="0" fontId="3" fillId="0" borderId="0" xfId="12" applyFont="1" applyAlignment="1">
      <alignment horizontal="left" wrapText="1"/>
    </xf>
    <xf numFmtId="165" fontId="3" fillId="3" borderId="18" xfId="1" applyNumberFormat="1" applyFont="1" applyFill="1" applyBorder="1" applyAlignment="1">
      <alignment horizontal="center"/>
    </xf>
    <xf numFmtId="165" fontId="3" fillId="0" borderId="4" xfId="1" applyNumberFormat="1" applyFont="1" applyBorder="1" applyAlignment="1">
      <alignment horizontal="center"/>
    </xf>
    <xf numFmtId="164" fontId="3" fillId="3" borderId="18" xfId="0" applyFont="1" applyFill="1" applyBorder="1" applyAlignment="1">
      <alignment horizontal="center"/>
    </xf>
    <xf numFmtId="0" fontId="3" fillId="0" borderId="25" xfId="12" applyFont="1" applyBorder="1" applyAlignment="1">
      <alignment horizontal="center"/>
    </xf>
    <xf numFmtId="0" fontId="3" fillId="0" borderId="26" xfId="12" applyFont="1" applyBorder="1" applyAlignment="1">
      <alignment horizontal="center"/>
    </xf>
    <xf numFmtId="164" fontId="3" fillId="0" borderId="18" xfId="0" applyFont="1" applyBorder="1" applyAlignment="1">
      <alignment horizontal="center" wrapText="1"/>
    </xf>
    <xf numFmtId="0" fontId="3" fillId="0" borderId="0" xfId="12" applyFont="1" applyAlignment="1">
      <alignment horizontal="center"/>
    </xf>
    <xf numFmtId="0" fontId="5" fillId="0" borderId="0" xfId="12" applyFont="1" applyAlignment="1">
      <alignment horizontal="center"/>
    </xf>
    <xf numFmtId="164" fontId="13" fillId="0" borderId="0" xfId="0" applyFont="1"/>
    <xf numFmtId="0" fontId="3" fillId="0" borderId="27" xfId="0" applyNumberFormat="1" applyFont="1" applyBorder="1" applyAlignment="1">
      <alignment horizontal="center" wrapText="1"/>
    </xf>
    <xf numFmtId="0" fontId="3" fillId="0" borderId="3" xfId="0" applyNumberFormat="1" applyFont="1" applyBorder="1" applyAlignment="1">
      <alignment horizontal="center" wrapText="1"/>
    </xf>
    <xf numFmtId="0" fontId="3" fillId="0" borderId="28" xfId="0" applyNumberFormat="1" applyFont="1" applyBorder="1" applyAlignment="1">
      <alignment horizontal="center" wrapText="1"/>
    </xf>
    <xf numFmtId="164" fontId="3" fillId="0" borderId="18" xfId="0" applyFont="1" applyBorder="1" applyAlignment="1">
      <alignment horizontal="center"/>
    </xf>
    <xf numFmtId="164" fontId="5" fillId="0" borderId="0" xfId="0" applyFont="1" applyAlignment="1">
      <alignment horizontal="center"/>
    </xf>
    <xf numFmtId="164" fontId="3" fillId="0" borderId="0" xfId="0" applyFont="1" applyAlignment="1" applyProtection="1">
      <alignment horizontal="center"/>
      <protection locked="0"/>
    </xf>
    <xf numFmtId="164" fontId="6" fillId="0" borderId="0" xfId="0" applyFont="1" applyAlignment="1" applyProtection="1">
      <alignment horizontal="center"/>
      <protection locked="0"/>
    </xf>
    <xf numFmtId="164" fontId="5" fillId="0" borderId="0" xfId="0" applyFont="1" applyAlignment="1" applyProtection="1">
      <alignment horizontal="center"/>
      <protection locked="0"/>
    </xf>
    <xf numFmtId="164" fontId="0" fillId="0" borderId="0" xfId="0" applyAlignment="1">
      <alignment horizontal="center"/>
    </xf>
    <xf numFmtId="0" fontId="3" fillId="9" borderId="0" xfId="12" applyFont="1" applyFill="1" applyAlignment="1">
      <alignment horizontal="center"/>
    </xf>
    <xf numFmtId="0" fontId="3" fillId="0" borderId="0" xfId="12" applyFont="1" applyAlignment="1">
      <alignment wrapText="1"/>
    </xf>
    <xf numFmtId="0" fontId="34" fillId="0" borderId="0" xfId="12" applyFont="1" applyAlignment="1">
      <alignment horizontal="center"/>
    </xf>
    <xf numFmtId="0" fontId="34" fillId="0" borderId="6" xfId="12" applyFont="1" applyBorder="1" applyAlignment="1">
      <alignment horizontal="center"/>
    </xf>
    <xf numFmtId="0" fontId="34" fillId="0" borderId="7" xfId="12" applyFont="1" applyBorder="1" applyAlignment="1">
      <alignment horizontal="center"/>
    </xf>
    <xf numFmtId="0" fontId="34" fillId="0" borderId="8" xfId="12" applyFont="1" applyBorder="1" applyAlignment="1">
      <alignment horizontal="center"/>
    </xf>
    <xf numFmtId="49" fontId="36" fillId="0" borderId="0" xfId="16" applyNumberFormat="1" applyFont="1" applyAlignment="1">
      <alignment horizontal="left" vertical="top" wrapText="1"/>
    </xf>
    <xf numFmtId="49" fontId="36" fillId="0" borderId="0" xfId="17" applyNumberFormat="1" applyFont="1" applyAlignment="1">
      <alignment horizontal="left" vertical="top" wrapText="1"/>
    </xf>
    <xf numFmtId="0" fontId="38" fillId="0" borderId="3" xfId="16" applyFont="1" applyBorder="1" applyAlignment="1">
      <alignment horizontal="center" wrapText="1"/>
    </xf>
    <xf numFmtId="165" fontId="36" fillId="0" borderId="56" xfId="17" applyNumberFormat="1" applyFont="1" applyBorder="1" applyAlignment="1">
      <alignment horizontal="right"/>
    </xf>
    <xf numFmtId="0" fontId="38" fillId="0" borderId="0" xfId="16" applyFont="1" applyAlignment="1">
      <alignment horizontal="left" wrapText="1"/>
    </xf>
    <xf numFmtId="0" fontId="38" fillId="0" borderId="3" xfId="16" applyFont="1" applyBorder="1" applyAlignment="1">
      <alignment horizontal="left" wrapText="1"/>
    </xf>
    <xf numFmtId="164" fontId="37" fillId="0" borderId="0" xfId="0" applyFont="1" applyAlignment="1">
      <alignment horizontal="center"/>
    </xf>
    <xf numFmtId="43" fontId="40" fillId="0" borderId="0" xfId="17" applyFont="1" applyAlignment="1">
      <alignment horizontal="right"/>
    </xf>
    <xf numFmtId="0" fontId="40" fillId="0" borderId="0" xfId="16" applyFont="1" applyAlignment="1">
      <alignment horizontal="left" vertical="top" wrapText="1"/>
    </xf>
    <xf numFmtId="0" fontId="41" fillId="0" borderId="0" xfId="16" applyFont="1" applyAlignment="1">
      <alignment horizontal="center" wrapText="1"/>
    </xf>
    <xf numFmtId="0" fontId="41" fillId="0" borderId="3" xfId="16" applyFont="1" applyBorder="1" applyAlignment="1">
      <alignment horizontal="center" wrapText="1"/>
    </xf>
    <xf numFmtId="43" fontId="40" fillId="0" borderId="56" xfId="17" applyFont="1" applyBorder="1" applyAlignment="1">
      <alignment horizontal="right"/>
    </xf>
    <xf numFmtId="164" fontId="6" fillId="0" borderId="0" xfId="0" applyFont="1" applyAlignment="1">
      <alignment horizontal="center"/>
    </xf>
    <xf numFmtId="164" fontId="3" fillId="0" borderId="0" xfId="0" applyFont="1" applyAlignment="1">
      <alignment horizontal="left" vertical="center" wrapText="1"/>
    </xf>
    <xf numFmtId="0" fontId="40" fillId="0" borderId="3" xfId="16" applyFont="1" applyBorder="1" applyAlignment="1">
      <alignment horizontal="center" wrapText="1"/>
    </xf>
    <xf numFmtId="0" fontId="40" fillId="0" borderId="0" xfId="16" applyFont="1" applyAlignment="1">
      <alignment horizontal="left" wrapText="1"/>
    </xf>
    <xf numFmtId="0" fontId="40" fillId="0" borderId="3" xfId="16" applyFont="1" applyBorder="1" applyAlignment="1">
      <alignment horizontal="left" wrapText="1"/>
    </xf>
    <xf numFmtId="49" fontId="40" fillId="0" borderId="0" xfId="16" applyNumberFormat="1" applyFont="1" applyAlignment="1">
      <alignment horizontal="left" vertical="top" wrapText="1"/>
    </xf>
    <xf numFmtId="165" fontId="40" fillId="0" borderId="4" xfId="17" applyNumberFormat="1" applyFont="1" applyBorder="1" applyAlignment="1">
      <alignment horizontal="right"/>
    </xf>
    <xf numFmtId="0" fontId="41" fillId="0" borderId="3" xfId="16" applyFont="1" applyBorder="1" applyAlignment="1">
      <alignment wrapText="1"/>
    </xf>
    <xf numFmtId="164" fontId="34" fillId="0" borderId="0" xfId="0" applyFont="1" applyAlignment="1">
      <alignment horizontal="left" vertical="top" wrapText="1"/>
    </xf>
  </cellXfs>
  <cellStyles count="20">
    <cellStyle name="Comma" xfId="1" builtinId="3"/>
    <cellStyle name="Comma [0]" xfId="2" builtinId="6"/>
    <cellStyle name="Comma 2 2" xfId="7" xr:uid="{9937F01B-E5D9-4122-9E34-ED7B0A27B8C5}"/>
    <cellStyle name="Comma 6" xfId="17" xr:uid="{D5714750-50BA-490E-98D0-7513B6302A12}"/>
    <cellStyle name="Currency" xfId="3" builtinId="4"/>
    <cellStyle name="Currency 4" xfId="19" xr:uid="{FF8769A6-3E4D-4BE4-B5EA-58BA18E2F9F0}"/>
    <cellStyle name="Normal" xfId="0" builtinId="0"/>
    <cellStyle name="Normal 2" xfId="12" xr:uid="{2B649434-3696-4CF8-9103-52998A07A1BF}"/>
    <cellStyle name="Normal 3 2" xfId="6" xr:uid="{6D281510-305E-4EEF-84E0-9A6BF3C0D9DE}"/>
    <cellStyle name="Normal 3_Attach O, GG, Support -New Method 2-14-11" xfId="11" xr:uid="{C979F096-AF4C-49E5-8D73-5C4F5F171C94}"/>
    <cellStyle name="Normal 7" xfId="9" xr:uid="{7EC13B2A-6130-48D1-A062-C334C6D55AF7}"/>
    <cellStyle name="Normal 8" xfId="16" xr:uid="{948150B0-FB8E-425C-AE52-890C78F21D93}"/>
    <cellStyle name="Normal_21 Exh B" xfId="5" xr:uid="{1E5A87AA-D4D4-434A-968F-66B5A2A46677}"/>
    <cellStyle name="Normal_AR workpaper --2002 Def Tax Exp by Account 8-14-02" xfId="15" xr:uid="{8E69BB45-2B75-4A5E-BCF1-9AFDFB838752}"/>
    <cellStyle name="Normal_Attachment GG Template ER11-28 11-18-10" xfId="14" xr:uid="{B8B4E418-77B9-4F14-B879-1557417CE4F3}"/>
    <cellStyle name="Normal_Attachment Os for 2002 True-up" xfId="10" xr:uid="{206338EC-4DE4-4603-A8F1-91FDA3312A45}"/>
    <cellStyle name="Normal_TrAILCo attach 6 &amp; 7 and Appendix A" xfId="13" xr:uid="{558E09B8-DFA2-44F8-BCEA-8F3CC98D350F}"/>
    <cellStyle name="Percent" xfId="4" builtinId="5"/>
    <cellStyle name="Percent 2 2" xfId="8" xr:uid="{B471FB4F-12F2-4FA7-B46F-F5477ADACB07}"/>
    <cellStyle name="Percent 5" xfId="18" xr:uid="{879AFC0C-0769-42BE-9931-2C52075F94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C2B0D-6A38-4D87-9919-9873A39377E7}">
  <sheetPr>
    <tabColor rgb="FF92D050"/>
    <pageSetUpPr fitToPage="1"/>
  </sheetPr>
  <dimension ref="A1:IV470"/>
  <sheetViews>
    <sheetView tabSelected="1" view="pageBreakPreview" topLeftCell="A233" zoomScale="85" zoomScaleNormal="85" zoomScaleSheetLayoutView="85" workbookViewId="0">
      <selection activeCell="E43" sqref="E43"/>
    </sheetView>
  </sheetViews>
  <sheetFormatPr defaultColWidth="8.6328125" defaultRowHeight="15.6"/>
  <cols>
    <col min="1" max="1" width="6" style="1" customWidth="1"/>
    <col min="2" max="2" width="1.453125" style="1" customWidth="1"/>
    <col min="3" max="3" width="61.90625" style="1" customWidth="1"/>
    <col min="4" max="4" width="26.453125" style="1" customWidth="1"/>
    <col min="5" max="5" width="32.90625" style="1" bestFit="1" customWidth="1"/>
    <col min="6" max="6" width="10.453125" style="1" customWidth="1"/>
    <col min="7" max="7" width="7.90625" style="1" customWidth="1"/>
    <col min="8" max="8" width="13.54296875" style="1" customWidth="1"/>
    <col min="9" max="9" width="6.81640625" style="1" customWidth="1"/>
    <col min="10" max="10" width="15.6328125" style="1" customWidth="1"/>
    <col min="11" max="11" width="8.90625" style="1" customWidth="1"/>
    <col min="12" max="12" width="12" style="1" bestFit="1" customWidth="1"/>
    <col min="13" max="13" width="14.453125" style="1" customWidth="1"/>
    <col min="14" max="14" width="8.6328125" style="5"/>
    <col min="15" max="15" width="2.08984375" style="5" customWidth="1"/>
    <col min="16" max="16384" width="8.6328125" style="5"/>
  </cols>
  <sheetData>
    <row r="1" spans="1:13">
      <c r="C1" s="2"/>
      <c r="D1" s="2"/>
      <c r="E1" s="3"/>
      <c r="F1" s="2"/>
      <c r="G1" s="2"/>
      <c r="H1" s="2"/>
      <c r="I1" s="2"/>
      <c r="J1" s="4"/>
      <c r="K1" s="4"/>
      <c r="L1" s="4"/>
      <c r="M1" s="4"/>
    </row>
    <row r="2" spans="1:13">
      <c r="C2" s="2"/>
      <c r="D2" s="2"/>
      <c r="E2" s="3"/>
      <c r="F2" s="2"/>
      <c r="G2" s="2"/>
      <c r="H2" s="2"/>
      <c r="I2" s="2"/>
      <c r="K2" s="4"/>
      <c r="L2" s="4"/>
      <c r="M2" s="4" t="s">
        <v>0</v>
      </c>
    </row>
    <row r="3" spans="1:13">
      <c r="C3" s="2"/>
      <c r="D3" s="2"/>
      <c r="E3" s="3"/>
      <c r="F3" s="2"/>
      <c r="G3" s="2"/>
      <c r="H3" s="2"/>
      <c r="I3" s="2"/>
      <c r="J3" s="4"/>
      <c r="K3" s="6"/>
      <c r="L3" s="6"/>
      <c r="M3" s="6" t="s">
        <v>1</v>
      </c>
    </row>
    <row r="4" spans="1:13">
      <c r="C4" s="2"/>
      <c r="D4" s="2"/>
      <c r="E4" s="3"/>
      <c r="F4" s="2"/>
      <c r="G4" s="2"/>
      <c r="H4" s="2"/>
      <c r="I4" s="2"/>
      <c r="J4" s="2"/>
    </row>
    <row r="5" spans="1:13">
      <c r="D5" s="7"/>
      <c r="E5" s="7" t="s">
        <v>2</v>
      </c>
      <c r="F5" s="2"/>
      <c r="G5" s="2"/>
      <c r="H5" s="2"/>
      <c r="I5" s="2"/>
    </row>
    <row r="6" spans="1:13">
      <c r="C6" s="2"/>
      <c r="D6" s="8" t="s">
        <v>3</v>
      </c>
      <c r="E6" s="8" t="s">
        <v>4</v>
      </c>
      <c r="F6" s="8"/>
      <c r="G6" s="8"/>
      <c r="H6" s="8"/>
      <c r="I6" s="2"/>
      <c r="J6" s="9"/>
      <c r="K6" s="9"/>
      <c r="L6" s="9"/>
      <c r="M6" s="9" t="s">
        <v>5</v>
      </c>
    </row>
    <row r="7" spans="1:13">
      <c r="D7" s="859" t="s">
        <v>6</v>
      </c>
      <c r="E7" s="864"/>
      <c r="F7" s="864"/>
      <c r="G7" s="864"/>
      <c r="H7" s="864"/>
      <c r="K7" s="10"/>
      <c r="L7" s="11"/>
      <c r="M7" s="9" t="s">
        <v>982</v>
      </c>
    </row>
    <row r="8" spans="1:13">
      <c r="D8" s="859" t="s">
        <v>7</v>
      </c>
      <c r="E8" s="865"/>
      <c r="F8" s="865"/>
      <c r="G8" s="865"/>
      <c r="H8" s="12"/>
      <c r="K8" s="13"/>
      <c r="M8" s="14"/>
    </row>
    <row r="9" spans="1:13">
      <c r="A9" s="15"/>
      <c r="D9" s="16"/>
      <c r="E9" s="17"/>
      <c r="F9" s="18"/>
      <c r="G9" s="18"/>
      <c r="H9" s="18"/>
      <c r="M9" s="6"/>
    </row>
    <row r="10" spans="1:13">
      <c r="A10" s="15"/>
      <c r="D10" s="16"/>
      <c r="F10" s="18"/>
      <c r="G10" s="18"/>
      <c r="H10" s="18"/>
      <c r="M10" s="6"/>
    </row>
    <row r="11" spans="1:13">
      <c r="A11" s="15"/>
      <c r="D11" s="16"/>
      <c r="E11" s="19"/>
      <c r="F11" s="18"/>
      <c r="G11" s="18"/>
      <c r="H11" s="18"/>
      <c r="M11" s="6"/>
    </row>
    <row r="12" spans="1:13">
      <c r="A12" s="15"/>
      <c r="C12" s="20" t="s">
        <v>8</v>
      </c>
      <c r="E12" s="20"/>
      <c r="F12" s="18"/>
      <c r="G12" s="18"/>
      <c r="H12" s="18"/>
      <c r="M12" s="6"/>
    </row>
    <row r="13" spans="1:13">
      <c r="A13" s="15"/>
      <c r="C13" s="20"/>
      <c r="D13" s="20"/>
      <c r="E13" s="20"/>
      <c r="F13" s="18"/>
      <c r="G13" s="18"/>
      <c r="H13" s="18"/>
      <c r="M13" s="6"/>
    </row>
    <row r="14" spans="1:13">
      <c r="A14" s="15"/>
      <c r="C14" s="20" t="s">
        <v>9</v>
      </c>
      <c r="D14" s="20" t="s">
        <v>10</v>
      </c>
      <c r="E14" s="20" t="s">
        <v>11</v>
      </c>
      <c r="F14" s="18"/>
      <c r="G14" s="18"/>
      <c r="H14" s="18"/>
      <c r="M14" s="6"/>
    </row>
    <row r="15" spans="1:13">
      <c r="A15" s="15"/>
      <c r="C15" s="20" t="s">
        <v>12</v>
      </c>
      <c r="D15" s="21">
        <v>1</v>
      </c>
      <c r="E15" s="20" t="s">
        <v>13</v>
      </c>
      <c r="F15" s="18"/>
      <c r="G15" s="18"/>
      <c r="H15" s="18"/>
      <c r="M15" s="6"/>
    </row>
    <row r="16" spans="1:13">
      <c r="A16" s="15"/>
      <c r="C16" s="20" t="s">
        <v>12</v>
      </c>
      <c r="D16" s="21">
        <f>+D15+1</f>
        <v>2</v>
      </c>
      <c r="E16" s="20" t="s">
        <v>14</v>
      </c>
      <c r="F16" s="18"/>
      <c r="G16" s="18"/>
      <c r="H16" s="18"/>
      <c r="M16" s="6"/>
    </row>
    <row r="17" spans="1:13">
      <c r="A17" s="15"/>
      <c r="C17" s="20" t="s">
        <v>12</v>
      </c>
      <c r="D17" s="21">
        <f t="shared" ref="D17:D27" si="0">+D16+1</f>
        <v>3</v>
      </c>
      <c r="E17" s="20" t="s">
        <v>15</v>
      </c>
      <c r="F17" s="18"/>
      <c r="G17" s="18"/>
      <c r="H17" s="18"/>
      <c r="M17" s="6"/>
    </row>
    <row r="18" spans="1:13">
      <c r="A18" s="15"/>
      <c r="C18" s="20" t="s">
        <v>12</v>
      </c>
      <c r="D18" s="21">
        <f t="shared" si="0"/>
        <v>4</v>
      </c>
      <c r="E18" s="20" t="s">
        <v>16</v>
      </c>
      <c r="F18" s="18"/>
      <c r="G18" s="18"/>
      <c r="H18" s="18"/>
      <c r="M18" s="6"/>
    </row>
    <row r="19" spans="1:13">
      <c r="A19" s="15"/>
      <c r="C19" s="20" t="s">
        <v>12</v>
      </c>
      <c r="D19" s="21">
        <f t="shared" si="0"/>
        <v>5</v>
      </c>
      <c r="E19" s="20" t="s">
        <v>17</v>
      </c>
      <c r="F19" s="18"/>
      <c r="G19" s="18"/>
      <c r="H19" s="18"/>
      <c r="M19" s="6"/>
    </row>
    <row r="20" spans="1:13">
      <c r="A20" s="15"/>
      <c r="C20" s="20" t="s">
        <v>12</v>
      </c>
      <c r="D20" s="21" t="s">
        <v>18</v>
      </c>
      <c r="E20" s="20" t="s">
        <v>19</v>
      </c>
      <c r="F20" s="18"/>
      <c r="G20" s="18"/>
      <c r="H20" s="18"/>
      <c r="M20" s="6"/>
    </row>
    <row r="21" spans="1:13">
      <c r="A21" s="15"/>
      <c r="C21" s="20" t="s">
        <v>12</v>
      </c>
      <c r="D21" s="21" t="s">
        <v>20</v>
      </c>
      <c r="E21" s="20" t="s">
        <v>21</v>
      </c>
      <c r="F21" s="18"/>
      <c r="G21" s="18"/>
      <c r="H21" s="18"/>
      <c r="M21" s="6"/>
    </row>
    <row r="22" spans="1:13">
      <c r="A22" s="15"/>
      <c r="C22" s="20" t="s">
        <v>12</v>
      </c>
      <c r="D22" s="21" t="s">
        <v>22</v>
      </c>
      <c r="E22" s="20" t="s">
        <v>23</v>
      </c>
      <c r="F22" s="18"/>
      <c r="G22" s="18"/>
      <c r="H22" s="18"/>
      <c r="M22" s="6"/>
    </row>
    <row r="23" spans="1:13">
      <c r="A23" s="15"/>
      <c r="C23" s="20" t="s">
        <v>12</v>
      </c>
      <c r="D23" s="21" t="s">
        <v>24</v>
      </c>
      <c r="E23" s="20" t="s">
        <v>25</v>
      </c>
      <c r="F23" s="18"/>
      <c r="G23" s="18"/>
      <c r="H23" s="18"/>
      <c r="M23" s="6"/>
    </row>
    <row r="24" spans="1:13">
      <c r="A24" s="15"/>
      <c r="C24" s="20" t="s">
        <v>12</v>
      </c>
      <c r="D24" s="21" t="s">
        <v>26</v>
      </c>
      <c r="E24" s="20" t="s">
        <v>27</v>
      </c>
      <c r="F24" s="18"/>
      <c r="G24" s="18"/>
      <c r="H24" s="18"/>
      <c r="M24" s="6"/>
    </row>
    <row r="25" spans="1:13">
      <c r="A25" s="15"/>
      <c r="C25" s="20" t="s">
        <v>12</v>
      </c>
      <c r="D25" s="21" t="s">
        <v>28</v>
      </c>
      <c r="E25" s="20" t="s">
        <v>29</v>
      </c>
      <c r="F25" s="18"/>
      <c r="G25" s="18"/>
      <c r="H25" s="18"/>
      <c r="M25" s="6"/>
    </row>
    <row r="26" spans="1:13">
      <c r="A26" s="15"/>
      <c r="C26" s="20" t="s">
        <v>12</v>
      </c>
      <c r="D26" s="21" t="s">
        <v>30</v>
      </c>
      <c r="E26" s="1" t="s">
        <v>31</v>
      </c>
      <c r="F26" s="18"/>
      <c r="G26" s="18"/>
      <c r="H26" s="18"/>
      <c r="M26" s="6"/>
    </row>
    <row r="27" spans="1:13">
      <c r="A27" s="15"/>
      <c r="C27" s="20" t="s">
        <v>12</v>
      </c>
      <c r="D27" s="21">
        <f t="shared" si="0"/>
        <v>8</v>
      </c>
      <c r="E27" s="20" t="s">
        <v>32</v>
      </c>
      <c r="F27" s="18"/>
      <c r="G27" s="18"/>
      <c r="H27" s="18"/>
      <c r="M27" s="6"/>
    </row>
    <row r="28" spans="1:13">
      <c r="A28" s="15"/>
      <c r="C28" s="20" t="s">
        <v>12</v>
      </c>
      <c r="D28" s="13">
        <v>9</v>
      </c>
      <c r="E28" s="20" t="s">
        <v>33</v>
      </c>
    </row>
    <row r="29" spans="1:13">
      <c r="A29" s="15"/>
      <c r="C29" s="20" t="s">
        <v>12</v>
      </c>
      <c r="D29" s="22">
        <v>10</v>
      </c>
      <c r="E29" s="20" t="s">
        <v>34</v>
      </c>
    </row>
    <row r="30" spans="1:13">
      <c r="A30" s="15"/>
      <c r="C30" s="20" t="s">
        <v>12</v>
      </c>
      <c r="D30" s="22">
        <v>11</v>
      </c>
      <c r="E30" s="20" t="s">
        <v>35</v>
      </c>
    </row>
    <row r="31" spans="1:13">
      <c r="A31" s="15"/>
      <c r="C31" s="20" t="s">
        <v>12</v>
      </c>
      <c r="D31" s="22">
        <v>12</v>
      </c>
      <c r="E31" s="20" t="s">
        <v>36</v>
      </c>
    </row>
    <row r="32" spans="1:13">
      <c r="A32" s="15"/>
      <c r="E32" s="23"/>
    </row>
    <row r="33" spans="1:14">
      <c r="A33" s="15"/>
      <c r="C33" s="2" t="s">
        <v>37</v>
      </c>
      <c r="E33" s="23"/>
    </row>
    <row r="34" spans="1:14">
      <c r="A34" s="15"/>
      <c r="E34" s="24" t="s">
        <v>38</v>
      </c>
      <c r="H34" s="24" t="s">
        <v>39</v>
      </c>
      <c r="J34" s="24" t="s">
        <v>40</v>
      </c>
      <c r="L34" s="24"/>
      <c r="M34" s="24"/>
    </row>
    <row r="35" spans="1:14">
      <c r="A35" s="15"/>
      <c r="M35" s="15"/>
    </row>
    <row r="36" spans="1:14">
      <c r="A36" s="15" t="s">
        <v>41</v>
      </c>
      <c r="E36" s="23"/>
      <c r="J36" s="15" t="s">
        <v>42</v>
      </c>
      <c r="M36" s="15"/>
    </row>
    <row r="37" spans="1:14" ht="16.2" thickBot="1">
      <c r="A37" s="25" t="s">
        <v>43</v>
      </c>
      <c r="J37" s="25" t="s">
        <v>44</v>
      </c>
      <c r="L37" s="15"/>
      <c r="M37" s="15"/>
    </row>
    <row r="38" spans="1:14">
      <c r="A38" s="15">
        <v>1</v>
      </c>
      <c r="C38" s="1" t="s">
        <v>45</v>
      </c>
      <c r="D38" s="1" t="str">
        <f>"(line "&amp;A157&amp;")"</f>
        <v>(line 67)</v>
      </c>
      <c r="E38" s="8"/>
      <c r="H38" s="1" t="s">
        <v>46</v>
      </c>
      <c r="J38" s="26">
        <f>+J157</f>
        <v>27309298.933875509</v>
      </c>
      <c r="M38" s="26"/>
    </row>
    <row r="39" spans="1:14">
      <c r="A39" s="15"/>
      <c r="J39" s="27"/>
    </row>
    <row r="40" spans="1:14">
      <c r="A40" s="15"/>
      <c r="J40" s="28"/>
    </row>
    <row r="41" spans="1:14" ht="16.2" thickBot="1">
      <c r="A41" s="15" t="s">
        <v>3</v>
      </c>
      <c r="C41" s="1" t="s">
        <v>47</v>
      </c>
      <c r="D41" s="8"/>
      <c r="E41" s="25" t="s">
        <v>48</v>
      </c>
      <c r="F41" s="8"/>
      <c r="G41" s="29" t="s">
        <v>49</v>
      </c>
      <c r="H41" s="29"/>
      <c r="J41" s="28"/>
    </row>
    <row r="42" spans="1:14">
      <c r="A42" s="15">
        <f>+A38+1</f>
        <v>2</v>
      </c>
      <c r="C42" s="1" t="str">
        <f>+'1 - Revenue Credits'!B15</f>
        <v>Total Revenue Credits</v>
      </c>
      <c r="D42" s="8" t="str">
        <f>"Attach 1, line "&amp;'1 - Revenue Credits'!A15&amp;""</f>
        <v>Attach 1, line 7</v>
      </c>
      <c r="E42" s="30">
        <f>+'1 - Revenue Credits'!D15</f>
        <v>0</v>
      </c>
      <c r="F42" s="8"/>
      <c r="G42" s="8" t="str">
        <f>+G66</f>
        <v>TP</v>
      </c>
      <c r="H42" s="31">
        <f>+H66</f>
        <v>1</v>
      </c>
      <c r="I42" s="8"/>
      <c r="J42" s="32">
        <f>+H42*E42</f>
        <v>0</v>
      </c>
      <c r="L42" s="33"/>
      <c r="M42" s="33"/>
      <c r="N42" s="34"/>
    </row>
    <row r="43" spans="1:14">
      <c r="A43" s="15">
        <f>+A42+1</f>
        <v>3</v>
      </c>
      <c r="C43" s="1" t="s">
        <v>50</v>
      </c>
      <c r="D43" s="35" t="s">
        <v>51</v>
      </c>
      <c r="E43" s="36">
        <f>'5 - True-Up'!J53</f>
        <v>12481726.065884424</v>
      </c>
      <c r="G43" s="1" t="s">
        <v>52</v>
      </c>
      <c r="H43" s="37">
        <v>1</v>
      </c>
      <c r="J43" s="32">
        <f>+H43*E43</f>
        <v>12481726.065884424</v>
      </c>
    </row>
    <row r="44" spans="1:14">
      <c r="A44" s="15"/>
      <c r="J44" s="8"/>
    </row>
    <row r="45" spans="1:14" ht="16.2" thickBot="1">
      <c r="A45" s="15">
        <f>+A43+1</f>
        <v>4</v>
      </c>
      <c r="C45" s="1" t="s">
        <v>53</v>
      </c>
      <c r="D45" s="1" t="str">
        <f>"(line "&amp;A38&amp;" minus line "&amp;A42&amp;" plus line "&amp;A43&amp;")"</f>
        <v>(line 1 minus line 2 plus line 3)</v>
      </c>
      <c r="F45" s="8"/>
      <c r="G45" s="8"/>
      <c r="H45" s="8"/>
      <c r="I45" s="8"/>
      <c r="J45" s="38">
        <f>+J38-J42+J43</f>
        <v>39791024.999759935</v>
      </c>
      <c r="M45" s="39"/>
    </row>
    <row r="46" spans="1:14" ht="16.2" thickTop="1">
      <c r="A46" s="15"/>
      <c r="E46" s="40"/>
      <c r="F46" s="8"/>
      <c r="G46" s="8"/>
      <c r="H46" s="8"/>
      <c r="I46" s="8"/>
    </row>
    <row r="47" spans="1:14">
      <c r="A47" s="15"/>
      <c r="D47" s="8"/>
      <c r="J47" s="8"/>
    </row>
    <row r="48" spans="1:14">
      <c r="A48" s="15"/>
      <c r="E48" s="8"/>
      <c r="J48" s="8"/>
    </row>
    <row r="49" spans="1:13">
      <c r="A49" s="15"/>
      <c r="E49" s="8"/>
      <c r="J49" s="8"/>
    </row>
    <row r="50" spans="1:13">
      <c r="C50" s="2"/>
      <c r="D50" s="2"/>
      <c r="E50" s="3"/>
      <c r="F50" s="2"/>
      <c r="G50" s="2"/>
      <c r="H50" s="2"/>
      <c r="I50" s="2"/>
      <c r="J50" s="2"/>
      <c r="K50" s="15"/>
      <c r="L50" s="15"/>
      <c r="M50" s="4"/>
    </row>
    <row r="51" spans="1:13">
      <c r="C51" s="2"/>
      <c r="D51" s="2"/>
      <c r="E51" s="3"/>
      <c r="F51" s="2"/>
      <c r="G51" s="2"/>
      <c r="H51" s="2"/>
      <c r="I51" s="2"/>
      <c r="J51" s="4"/>
      <c r="K51" s="4"/>
      <c r="L51" s="4"/>
      <c r="M51" s="4" t="s">
        <v>0</v>
      </c>
    </row>
    <row r="52" spans="1:13">
      <c r="C52" s="2"/>
      <c r="D52" s="2"/>
      <c r="E52" s="3"/>
      <c r="F52" s="2"/>
      <c r="G52" s="2"/>
      <c r="H52" s="2"/>
      <c r="I52" s="2"/>
      <c r="J52" s="6"/>
      <c r="K52" s="6"/>
      <c r="L52" s="6"/>
      <c r="M52" s="6" t="s">
        <v>54</v>
      </c>
    </row>
    <row r="53" spans="1:13">
      <c r="C53" s="2"/>
      <c r="D53" s="2"/>
      <c r="E53" s="3"/>
      <c r="F53" s="2"/>
      <c r="G53" s="2"/>
      <c r="H53" s="2"/>
      <c r="I53" s="2"/>
      <c r="J53" s="2"/>
      <c r="L53" s="6"/>
      <c r="M53" s="6"/>
    </row>
    <row r="54" spans="1:13">
      <c r="C54" s="2"/>
      <c r="D54" s="2"/>
      <c r="E54" s="3"/>
      <c r="F54" s="2"/>
      <c r="G54" s="2"/>
      <c r="H54" s="2"/>
      <c r="I54" s="2"/>
      <c r="J54" s="2"/>
      <c r="L54" s="6"/>
    </row>
    <row r="55" spans="1:13">
      <c r="C55" s="2" t="s">
        <v>37</v>
      </c>
      <c r="D55" s="7"/>
      <c r="E55" s="7" t="s">
        <v>2</v>
      </c>
      <c r="F55" s="2"/>
      <c r="G55" s="2"/>
      <c r="H55" s="2"/>
      <c r="I55" s="2"/>
    </row>
    <row r="56" spans="1:13">
      <c r="C56" s="2"/>
      <c r="D56" s="8" t="s">
        <v>3</v>
      </c>
      <c r="E56" s="8" t="s">
        <v>4</v>
      </c>
      <c r="F56" s="8"/>
      <c r="G56" s="8"/>
      <c r="H56" s="8"/>
      <c r="I56" s="2"/>
      <c r="J56" s="2"/>
    </row>
    <row r="57" spans="1:13">
      <c r="C57" s="2"/>
      <c r="D57" s="8"/>
      <c r="E57" s="41"/>
      <c r="F57" s="8"/>
      <c r="G57" s="42"/>
      <c r="H57" s="8"/>
      <c r="I57" s="2"/>
      <c r="J57" s="2"/>
      <c r="K57" s="11"/>
      <c r="L57" s="11"/>
      <c r="M57" s="9" t="str">
        <f>+M7</f>
        <v>For the 12 months ended 12/31/2022</v>
      </c>
    </row>
    <row r="58" spans="1:13">
      <c r="C58" s="2"/>
      <c r="D58" s="866" t="s">
        <v>55</v>
      </c>
      <c r="E58" s="867"/>
      <c r="F58" s="867"/>
      <c r="G58" s="867"/>
      <c r="H58" s="8"/>
      <c r="I58" s="2"/>
      <c r="J58" s="2"/>
      <c r="M58" s="14"/>
    </row>
    <row r="59" spans="1:13">
      <c r="E59" s="5"/>
      <c r="F59" s="8"/>
      <c r="G59" s="8"/>
      <c r="H59" s="8"/>
      <c r="I59" s="8"/>
      <c r="J59" s="8"/>
      <c r="K59" s="8"/>
      <c r="L59" s="8"/>
      <c r="M59" s="43"/>
    </row>
    <row r="60" spans="1:13">
      <c r="C60" s="44" t="s">
        <v>38</v>
      </c>
      <c r="D60" s="44" t="s">
        <v>39</v>
      </c>
      <c r="E60" s="44" t="s">
        <v>40</v>
      </c>
      <c r="F60" s="8" t="s">
        <v>3</v>
      </c>
      <c r="G60" s="8"/>
      <c r="H60" s="45" t="s">
        <v>56</v>
      </c>
      <c r="I60" s="8"/>
      <c r="J60" s="45" t="s">
        <v>57</v>
      </c>
      <c r="K60" s="8"/>
      <c r="L60" s="24"/>
      <c r="M60" s="24"/>
    </row>
    <row r="61" spans="1:13">
      <c r="D61" s="46"/>
      <c r="E61" s="8"/>
      <c r="F61" s="8"/>
      <c r="G61" s="8"/>
      <c r="H61" s="15"/>
      <c r="I61" s="8"/>
      <c r="J61" s="47" t="s">
        <v>58</v>
      </c>
      <c r="K61" s="8"/>
      <c r="L61" s="44"/>
      <c r="M61" s="44"/>
    </row>
    <row r="62" spans="1:13">
      <c r="A62" s="15" t="s">
        <v>41</v>
      </c>
      <c r="D62" s="48" t="s">
        <v>59</v>
      </c>
      <c r="E62" s="47" t="s">
        <v>60</v>
      </c>
      <c r="F62" s="49"/>
      <c r="G62" s="47" t="s">
        <v>61</v>
      </c>
      <c r="I62" s="49"/>
      <c r="J62" s="15" t="s">
        <v>62</v>
      </c>
      <c r="K62" s="8"/>
      <c r="L62" s="15"/>
      <c r="M62" s="15"/>
    </row>
    <row r="63" spans="1:13" ht="16.2" thickBot="1">
      <c r="A63" s="25" t="s">
        <v>43</v>
      </c>
      <c r="C63" s="12" t="s">
        <v>63</v>
      </c>
      <c r="D63" s="8"/>
      <c r="E63" s="8"/>
      <c r="F63" s="8"/>
      <c r="G63" s="8"/>
      <c r="H63" s="8"/>
      <c r="I63" s="8"/>
      <c r="J63" s="8"/>
      <c r="K63" s="8"/>
      <c r="L63" s="8"/>
      <c r="M63" s="8"/>
    </row>
    <row r="64" spans="1:13">
      <c r="A64" s="15"/>
      <c r="D64" s="8"/>
      <c r="E64" s="8"/>
      <c r="F64" s="8"/>
      <c r="G64" s="8"/>
      <c r="H64" s="8"/>
      <c r="I64" s="8"/>
      <c r="J64" s="8"/>
      <c r="K64" s="8"/>
      <c r="L64" s="8"/>
      <c r="M64" s="8"/>
    </row>
    <row r="65" spans="1:23">
      <c r="A65" s="15"/>
      <c r="C65" s="1" t="s">
        <v>64</v>
      </c>
      <c r="D65" s="8"/>
      <c r="E65" s="8"/>
      <c r="F65" s="8"/>
      <c r="G65" s="8"/>
      <c r="H65" s="8"/>
      <c r="I65" s="8"/>
      <c r="J65" s="8"/>
      <c r="K65" s="8"/>
      <c r="L65" s="8"/>
      <c r="M65" s="8"/>
    </row>
    <row r="66" spans="1:23">
      <c r="A66" s="15">
        <f>+A45+1</f>
        <v>5</v>
      </c>
      <c r="C66" s="1" t="s">
        <v>65</v>
      </c>
      <c r="D66" s="8" t="s">
        <v>66</v>
      </c>
      <c r="E66" s="50">
        <f>+'2 - Cost Support '!F21</f>
        <v>68223082.33461538</v>
      </c>
      <c r="F66" s="8"/>
      <c r="G66" s="8" t="s">
        <v>67</v>
      </c>
      <c r="H66" s="31">
        <f>+J$177</f>
        <v>1</v>
      </c>
      <c r="I66" s="8"/>
      <c r="J66" s="32">
        <f>+H66*E66</f>
        <v>68223082.33461538</v>
      </c>
      <c r="K66" s="8"/>
      <c r="L66" s="51"/>
      <c r="M66" s="52"/>
      <c r="N66" s="53"/>
    </row>
    <row r="67" spans="1:23">
      <c r="A67" s="15">
        <f>+A66+1</f>
        <v>6</v>
      </c>
      <c r="C67" s="1" t="s">
        <v>68</v>
      </c>
      <c r="D67" s="8" t="s">
        <v>69</v>
      </c>
      <c r="E67" s="50">
        <f>+'2 - Cost Support '!F37+'2 - Cost Support '!F53</f>
        <v>1374277.6930769233</v>
      </c>
      <c r="F67" s="8"/>
      <c r="G67" s="8" t="s">
        <v>70</v>
      </c>
      <c r="H67" s="31">
        <f>+J$183</f>
        <v>1</v>
      </c>
      <c r="I67" s="8"/>
      <c r="J67" s="32">
        <f>+H67*E67</f>
        <v>1374277.6930769233</v>
      </c>
      <c r="K67" s="8"/>
      <c r="L67" s="51"/>
      <c r="M67" s="52"/>
      <c r="N67" s="53"/>
    </row>
    <row r="68" spans="1:23">
      <c r="A68" s="15">
        <f>+A67+1</f>
        <v>7</v>
      </c>
      <c r="C68" s="2" t="str">
        <f>"TOTAL GROSS PLANT (sum lines "&amp;A66&amp;"-"&amp;A67&amp;")"</f>
        <v>TOTAL GROSS PLANT (sum lines 5-6)</v>
      </c>
      <c r="D68" s="868" t="s">
        <v>71</v>
      </c>
      <c r="E68" s="50">
        <f>SUM(E66:E67)</f>
        <v>69597360.027692303</v>
      </c>
      <c r="F68" s="8"/>
      <c r="G68" s="8" t="s">
        <v>72</v>
      </c>
      <c r="H68" s="54">
        <f>J68/E68</f>
        <v>1</v>
      </c>
      <c r="I68" s="8"/>
      <c r="J68" s="32">
        <f>SUM(J66:J67)</f>
        <v>69597360.027692303</v>
      </c>
      <c r="K68" s="8"/>
      <c r="L68" s="43"/>
      <c r="M68" s="8"/>
    </row>
    <row r="69" spans="1:23">
      <c r="A69" s="15"/>
      <c r="D69" s="868"/>
      <c r="E69" s="50"/>
      <c r="F69" s="8"/>
      <c r="G69" s="8"/>
      <c r="H69" s="55"/>
      <c r="I69" s="8"/>
      <c r="J69" s="32"/>
      <c r="K69" s="8"/>
      <c r="L69" s="56"/>
      <c r="M69" s="8"/>
      <c r="W69" s="57"/>
    </row>
    <row r="70" spans="1:23">
      <c r="A70" s="15">
        <f>+A68+1</f>
        <v>8</v>
      </c>
      <c r="C70" s="1" t="s">
        <v>73</v>
      </c>
      <c r="D70" s="8"/>
      <c r="E70" s="50"/>
      <c r="F70" s="8"/>
      <c r="G70" s="8"/>
      <c r="H70" s="31"/>
      <c r="I70" s="8"/>
      <c r="J70" s="32"/>
      <c r="K70" s="8"/>
      <c r="L70" s="8"/>
      <c r="M70" s="8"/>
    </row>
    <row r="71" spans="1:23">
      <c r="A71" s="15">
        <f>+A70+1</f>
        <v>9</v>
      </c>
      <c r="C71" s="1" t="s">
        <v>65</v>
      </c>
      <c r="D71" s="8" t="s">
        <v>74</v>
      </c>
      <c r="E71" s="50">
        <f>+'2 - Cost Support '!F74</f>
        <v>841202.93384615378</v>
      </c>
      <c r="F71" s="8"/>
      <c r="G71" s="8" t="str">
        <f>+G66</f>
        <v>TP</v>
      </c>
      <c r="H71" s="31">
        <f>+J$177</f>
        <v>1</v>
      </c>
      <c r="I71" s="8"/>
      <c r="J71" s="32">
        <f>+H71*E71</f>
        <v>841202.93384615378</v>
      </c>
      <c r="K71" s="8"/>
      <c r="L71" s="33"/>
      <c r="M71" s="58"/>
      <c r="N71" s="53"/>
    </row>
    <row r="72" spans="1:23">
      <c r="A72" s="15">
        <f>+A71+1</f>
        <v>10</v>
      </c>
      <c r="C72" s="1" t="s">
        <v>68</v>
      </c>
      <c r="D72" s="8" t="s">
        <v>75</v>
      </c>
      <c r="E72" s="50">
        <f>+'2 - Cost Support '!F90+'2 - Cost Support '!F106</f>
        <v>143999.87846153846</v>
      </c>
      <c r="F72" s="8"/>
      <c r="G72" s="8" t="str">
        <f>+G67</f>
        <v>W/S</v>
      </c>
      <c r="H72" s="31">
        <f>+J$183</f>
        <v>1</v>
      </c>
      <c r="I72" s="8"/>
      <c r="J72" s="32">
        <f>+H72*E72</f>
        <v>143999.87846153846</v>
      </c>
      <c r="K72" s="8"/>
      <c r="L72" s="33"/>
      <c r="M72" s="58"/>
      <c r="N72" s="53"/>
    </row>
    <row r="73" spans="1:23">
      <c r="A73" s="15">
        <f>+A72+1</f>
        <v>11</v>
      </c>
      <c r="C73" s="1" t="str">
        <f>"TOTAL ACCUM. DEPRECIATION (sum lines "&amp;A71&amp;"-"&amp;A72&amp;")"</f>
        <v>TOTAL ACCUM. DEPRECIATION (sum lines 9-10)</v>
      </c>
      <c r="D73" s="8"/>
      <c r="E73" s="50">
        <f>SUM(E71:E72)</f>
        <v>985202.81230769225</v>
      </c>
      <c r="F73" s="8"/>
      <c r="G73" s="8"/>
      <c r="H73" s="31"/>
      <c r="I73" s="8"/>
      <c r="J73" s="32">
        <f>SUM(J71:J72)</f>
        <v>985202.81230769225</v>
      </c>
      <c r="K73" s="8"/>
      <c r="L73" s="8"/>
      <c r="M73" s="8"/>
    </row>
    <row r="74" spans="1:23">
      <c r="A74" s="15"/>
      <c r="D74" s="8" t="s">
        <v>3</v>
      </c>
      <c r="E74" s="50"/>
      <c r="F74" s="8"/>
      <c r="G74" s="8"/>
      <c r="H74" s="55"/>
      <c r="I74" s="8"/>
      <c r="J74" s="32"/>
      <c r="K74" s="8"/>
      <c r="L74" s="56"/>
      <c r="M74" s="8"/>
    </row>
    <row r="75" spans="1:23">
      <c r="A75" s="15">
        <f>+A73+1</f>
        <v>12</v>
      </c>
      <c r="C75" s="1" t="s">
        <v>76</v>
      </c>
      <c r="D75" s="8"/>
      <c r="E75" s="50"/>
      <c r="F75" s="8"/>
      <c r="G75" s="8"/>
      <c r="H75" s="31"/>
      <c r="I75" s="8"/>
      <c r="J75" s="32"/>
      <c r="K75" s="8"/>
      <c r="L75" s="8"/>
      <c r="M75" s="8"/>
    </row>
    <row r="76" spans="1:23">
      <c r="A76" s="15">
        <f>+A75+1</f>
        <v>13</v>
      </c>
      <c r="C76" s="1" t="s">
        <v>77</v>
      </c>
      <c r="D76" s="8" t="str">
        <f>" (line "&amp;A66&amp;"- line "&amp;A71&amp;")"</f>
        <v xml:space="preserve"> (line 5- line 9)</v>
      </c>
      <c r="E76" s="50">
        <f>+E66-E71</f>
        <v>67381879.400769219</v>
      </c>
      <c r="F76" s="8"/>
      <c r="G76" s="8"/>
      <c r="H76" s="31"/>
      <c r="I76" s="8"/>
      <c r="J76" s="32">
        <f>+J66-J71</f>
        <v>67381879.400769219</v>
      </c>
      <c r="K76" s="8"/>
      <c r="L76" s="56"/>
      <c r="M76" s="33"/>
      <c r="N76" s="34"/>
    </row>
    <row r="77" spans="1:23">
      <c r="A77" s="15">
        <f>+A76+1</f>
        <v>14</v>
      </c>
      <c r="C77" s="1" t="s">
        <v>78</v>
      </c>
      <c r="D77" s="8" t="str">
        <f>" (line "&amp;A67&amp;"- line "&amp;A72&amp;")"</f>
        <v xml:space="preserve"> (line 6- line 10)</v>
      </c>
      <c r="E77" s="50">
        <f>+E67-E72</f>
        <v>1230277.8146153847</v>
      </c>
      <c r="F77" s="8"/>
      <c r="G77" s="8"/>
      <c r="H77" s="55"/>
      <c r="I77" s="8"/>
      <c r="J77" s="32">
        <f>+J67-J72</f>
        <v>1230277.8146153847</v>
      </c>
      <c r="K77" s="8"/>
      <c r="L77" s="56"/>
      <c r="M77" s="33"/>
      <c r="N77" s="34"/>
    </row>
    <row r="78" spans="1:23">
      <c r="A78" s="15">
        <f>+A77+1</f>
        <v>15</v>
      </c>
      <c r="C78" s="1" t="str">
        <f>"TOTAL NET PLANT (sum lines "&amp;A76&amp;"-"&amp;A77&amp;")"</f>
        <v>TOTAL NET PLANT (sum lines 13-14)</v>
      </c>
      <c r="D78" s="868" t="s">
        <v>79</v>
      </c>
      <c r="E78" s="50">
        <f>SUM(E76:E77)</f>
        <v>68612157.215384603</v>
      </c>
      <c r="F78" s="8"/>
      <c r="G78" s="8" t="s">
        <v>80</v>
      </c>
      <c r="H78" s="54">
        <f>J78/E78</f>
        <v>1</v>
      </c>
      <c r="I78" s="8"/>
      <c r="J78" s="32">
        <f>SUM(J76:J77)</f>
        <v>68612157.215384603</v>
      </c>
      <c r="K78" s="8"/>
      <c r="L78" s="8"/>
      <c r="M78" s="8"/>
    </row>
    <row r="79" spans="1:23">
      <c r="A79" s="15"/>
      <c r="D79" s="868"/>
      <c r="E79" s="50"/>
      <c r="F79" s="8"/>
      <c r="H79" s="59"/>
      <c r="I79" s="8"/>
      <c r="J79" s="32"/>
      <c r="K79" s="8"/>
      <c r="L79" s="56"/>
      <c r="M79" s="8"/>
    </row>
    <row r="80" spans="1:23">
      <c r="A80" s="15">
        <f>+A78+1</f>
        <v>16</v>
      </c>
      <c r="C80" s="2" t="str">
        <f>"ADJUSTMENTS TO RATE BASE       (Note "&amp;A220&amp;")"</f>
        <v>ADJUSTMENTS TO RATE BASE       (Note A)</v>
      </c>
      <c r="D80" s="8"/>
      <c r="E80" s="50"/>
      <c r="F80" s="8"/>
      <c r="G80" s="8"/>
      <c r="H80" s="59"/>
      <c r="I80" s="8"/>
      <c r="J80" s="32"/>
      <c r="K80" s="8"/>
      <c r="L80" s="8"/>
      <c r="M80" s="8"/>
    </row>
    <row r="81" spans="1:14">
      <c r="A81" s="15">
        <f t="shared" ref="A81:A87" si="1">+A80+1</f>
        <v>17</v>
      </c>
      <c r="C81" s="1" t="s">
        <v>81</v>
      </c>
      <c r="D81" s="8" t="s">
        <v>82</v>
      </c>
      <c r="E81" s="50">
        <f>+'6e-ADIT True-up'!E16</f>
        <v>-7271618.2381094107</v>
      </c>
      <c r="F81" s="8"/>
      <c r="G81" s="8" t="s">
        <v>83</v>
      </c>
      <c r="H81" s="59">
        <f>+H78</f>
        <v>1</v>
      </c>
      <c r="I81" s="8"/>
      <c r="J81" s="50">
        <f t="shared" ref="J81:J86" si="2">+H81*E81</f>
        <v>-7271618.2381094107</v>
      </c>
      <c r="K81" s="8"/>
      <c r="L81" s="8"/>
      <c r="M81" s="58"/>
      <c r="N81" s="34"/>
    </row>
    <row r="82" spans="1:14">
      <c r="A82" s="15">
        <f t="shared" si="1"/>
        <v>18</v>
      </c>
      <c r="C82" s="1" t="s">
        <v>84</v>
      </c>
      <c r="D82" s="8" t="s">
        <v>85</v>
      </c>
      <c r="E82" s="50">
        <f>+'2a - Cost Support'!G5</f>
        <v>0</v>
      </c>
      <c r="F82" s="8"/>
      <c r="G82" s="8" t="s">
        <v>83</v>
      </c>
      <c r="H82" s="59">
        <f>+H$78</f>
        <v>1</v>
      </c>
      <c r="I82" s="8"/>
      <c r="J82" s="60">
        <f t="shared" si="2"/>
        <v>0</v>
      </c>
      <c r="K82" s="8"/>
      <c r="L82" s="8"/>
      <c r="M82" s="58"/>
      <c r="N82" s="34"/>
    </row>
    <row r="83" spans="1:14">
      <c r="A83" s="15">
        <f t="shared" si="1"/>
        <v>19</v>
      </c>
      <c r="C83" s="1" t="s">
        <v>86</v>
      </c>
      <c r="D83" s="8" t="s">
        <v>87</v>
      </c>
      <c r="E83" s="60">
        <f>+'2a - Cost Support'!G44</f>
        <v>0</v>
      </c>
      <c r="F83" s="8"/>
      <c r="G83" s="8" t="s">
        <v>52</v>
      </c>
      <c r="H83" s="61">
        <v>1</v>
      </c>
      <c r="I83" s="8"/>
      <c r="J83" s="60">
        <f>+E83*H83</f>
        <v>0</v>
      </c>
      <c r="K83" s="8"/>
      <c r="L83" s="43"/>
      <c r="M83" s="58"/>
      <c r="N83" s="34"/>
    </row>
    <row r="84" spans="1:14">
      <c r="A84" s="15">
        <f t="shared" si="1"/>
        <v>20</v>
      </c>
      <c r="C84" s="1" t="s">
        <v>88</v>
      </c>
      <c r="D84" s="8" t="s">
        <v>89</v>
      </c>
      <c r="E84" s="60">
        <f>+'2a - Cost Support'!D68</f>
        <v>0</v>
      </c>
      <c r="F84" s="8"/>
      <c r="G84" s="8" t="str">
        <f>+G85</f>
        <v>DA</v>
      </c>
      <c r="H84" s="61">
        <f>+H85</f>
        <v>1</v>
      </c>
      <c r="I84" s="8"/>
      <c r="J84" s="60">
        <f t="shared" si="2"/>
        <v>0</v>
      </c>
      <c r="K84" s="8"/>
      <c r="L84" s="43"/>
      <c r="M84" s="58"/>
      <c r="N84" s="34"/>
    </row>
    <row r="85" spans="1:14">
      <c r="A85" s="15">
        <f t="shared" si="1"/>
        <v>21</v>
      </c>
      <c r="C85" s="1" t="s">
        <v>90</v>
      </c>
      <c r="D85" s="8" t="s">
        <v>91</v>
      </c>
      <c r="E85" s="60">
        <f>+'2a - Cost Support'!E146</f>
        <v>13072272.393548371</v>
      </c>
      <c r="F85" s="8"/>
      <c r="G85" s="8" t="str">
        <f>+G86</f>
        <v>DA</v>
      </c>
      <c r="H85" s="61">
        <f>+H86</f>
        <v>1</v>
      </c>
      <c r="I85" s="8"/>
      <c r="J85" s="60">
        <f t="shared" si="2"/>
        <v>13072272.393548371</v>
      </c>
      <c r="K85" s="8"/>
      <c r="L85" s="43"/>
      <c r="M85" s="58"/>
      <c r="N85" s="34"/>
    </row>
    <row r="86" spans="1:14">
      <c r="A86" s="15">
        <f t="shared" si="1"/>
        <v>22</v>
      </c>
      <c r="C86" s="62" t="s">
        <v>92</v>
      </c>
      <c r="D86" s="63" t="s">
        <v>93</v>
      </c>
      <c r="E86" s="64">
        <f>+'2a - Cost Support'!G7</f>
        <v>0</v>
      </c>
      <c r="F86" s="63"/>
      <c r="G86" s="63" t="s">
        <v>52</v>
      </c>
      <c r="H86" s="65">
        <v>1</v>
      </c>
      <c r="I86" s="63"/>
      <c r="J86" s="66">
        <f t="shared" si="2"/>
        <v>0</v>
      </c>
      <c r="K86" s="8"/>
      <c r="L86" s="8"/>
      <c r="M86" s="58"/>
      <c r="N86" s="34"/>
    </row>
    <row r="87" spans="1:14">
      <c r="A87" s="15">
        <f t="shared" si="1"/>
        <v>23</v>
      </c>
      <c r="C87" s="67" t="str">
        <f>"TOTAL ADJUSTMENTS  (sum lines "&amp;A81&amp;"-"&amp;A86&amp;")"</f>
        <v>TOTAL ADJUSTMENTS  (sum lines 17-22)</v>
      </c>
      <c r="D87" s="8"/>
      <c r="E87" s="50">
        <f>SUM(E81:E86)</f>
        <v>5800654.1554389605</v>
      </c>
      <c r="F87" s="8"/>
      <c r="G87" s="8"/>
      <c r="H87" s="31"/>
      <c r="I87" s="8"/>
      <c r="J87" s="32">
        <f>SUM(J81:J86)</f>
        <v>5800654.1554389605</v>
      </c>
      <c r="K87" s="8"/>
      <c r="L87" s="8"/>
      <c r="M87" s="8"/>
    </row>
    <row r="88" spans="1:14">
      <c r="A88" s="15"/>
      <c r="D88" s="8"/>
      <c r="E88" s="50"/>
      <c r="F88" s="8"/>
      <c r="G88" s="8"/>
      <c r="H88" s="55"/>
      <c r="I88" s="8"/>
      <c r="J88" s="32"/>
      <c r="K88" s="8"/>
      <c r="L88" s="56"/>
      <c r="M88" s="8"/>
    </row>
    <row r="89" spans="1:14">
      <c r="A89" s="15">
        <f>+A87+1</f>
        <v>24</v>
      </c>
      <c r="C89" s="2" t="s">
        <v>94</v>
      </c>
      <c r="D89" s="8" t="s">
        <v>95</v>
      </c>
      <c r="E89" s="50">
        <f>+'2a - Cost Support'!G51</f>
        <v>2036816</v>
      </c>
      <c r="F89" s="8"/>
      <c r="G89" s="8" t="str">
        <f>+G71</f>
        <v>TP</v>
      </c>
      <c r="H89" s="31">
        <f>+J$177</f>
        <v>1</v>
      </c>
      <c r="I89" s="8"/>
      <c r="J89" s="32">
        <f>+H89*E89</f>
        <v>2036816</v>
      </c>
      <c r="K89" s="8"/>
      <c r="L89" s="8"/>
      <c r="M89" s="8"/>
    </row>
    <row r="90" spans="1:14">
      <c r="A90" s="15"/>
      <c r="D90" s="8"/>
      <c r="E90" s="50"/>
      <c r="F90" s="8"/>
      <c r="G90" s="8"/>
      <c r="H90" s="31"/>
      <c r="I90" s="8"/>
      <c r="J90" s="32"/>
      <c r="K90" s="8"/>
      <c r="L90" s="8"/>
      <c r="M90" s="8"/>
    </row>
    <row r="91" spans="1:14">
      <c r="A91" s="15">
        <f>+A89+1</f>
        <v>25</v>
      </c>
      <c r="C91" s="1" t="str">
        <f>"WORKING CAPITAL  (Note "&amp;A223&amp;")"</f>
        <v>WORKING CAPITAL  (Note C)</v>
      </c>
      <c r="D91" s="8" t="s">
        <v>3</v>
      </c>
      <c r="E91" s="50"/>
      <c r="F91" s="8"/>
      <c r="G91" s="8"/>
      <c r="H91" s="31"/>
      <c r="I91" s="8"/>
      <c r="J91" s="32"/>
      <c r="K91" s="8"/>
      <c r="L91" s="8"/>
      <c r="M91" s="8"/>
    </row>
    <row r="92" spans="1:14">
      <c r="A92" s="15">
        <f>+A91+1</f>
        <v>26</v>
      </c>
      <c r="C92" s="1" t="s">
        <v>96</v>
      </c>
      <c r="D92" s="1" t="s">
        <v>97</v>
      </c>
      <c r="E92" s="50">
        <f>((1/8)*(E118-E113))</f>
        <v>1899759.8</v>
      </c>
      <c r="F92" s="8"/>
      <c r="G92" s="8"/>
      <c r="H92" s="55"/>
      <c r="I92" s="8"/>
      <c r="J92" s="50">
        <f>((1/8)*(J118-J113))</f>
        <v>1899759.8</v>
      </c>
      <c r="K92" s="8"/>
      <c r="L92" s="43"/>
      <c r="M92" s="58"/>
    </row>
    <row r="93" spans="1:14">
      <c r="A93" s="15">
        <f>+A92+1</f>
        <v>27</v>
      </c>
      <c r="C93" s="1" t="str">
        <f>"  Materials &amp; Supplies  (Note "&amp;A222&amp;")"</f>
        <v xml:space="preserve">  Materials &amp; Supplies  (Note B)</v>
      </c>
      <c r="D93" s="8" t="s">
        <v>98</v>
      </c>
      <c r="E93" s="50">
        <f>+'2a - Cost Support'!H138</f>
        <v>0</v>
      </c>
      <c r="F93" s="8"/>
      <c r="G93" s="8" t="str">
        <f>+G89</f>
        <v>TP</v>
      </c>
      <c r="H93" s="31">
        <f>+H89</f>
        <v>1</v>
      </c>
      <c r="I93" s="8"/>
      <c r="J93" s="32">
        <f>+H93*E93</f>
        <v>0</v>
      </c>
      <c r="K93" s="8"/>
      <c r="L93" s="56"/>
      <c r="M93" s="68"/>
    </row>
    <row r="94" spans="1:14">
      <c r="A94" s="15">
        <f>+A93+1</f>
        <v>28</v>
      </c>
      <c r="C94" s="62" t="str">
        <f xml:space="preserve">  "  Prepayments (Account 165 - Note "&amp;A223&amp;")"</f>
        <v xml:space="preserve">  Prepayments (Account 165 - Note C)</v>
      </c>
      <c r="D94" s="63" t="s">
        <v>99</v>
      </c>
      <c r="E94" s="64">
        <f>+'2a - Cost Support'!F26</f>
        <v>93620.36153846154</v>
      </c>
      <c r="F94" s="63"/>
      <c r="G94" s="63" t="s">
        <v>100</v>
      </c>
      <c r="H94" s="69">
        <f>+H$68</f>
        <v>1</v>
      </c>
      <c r="I94" s="63"/>
      <c r="J94" s="66">
        <f>+H94*E94</f>
        <v>93620.36153846154</v>
      </c>
      <c r="K94" s="8"/>
      <c r="L94" s="8"/>
      <c r="M94" s="8"/>
    </row>
    <row r="95" spans="1:14">
      <c r="A95" s="15">
        <f>+A94+1</f>
        <v>29</v>
      </c>
      <c r="C95" s="1" t="str">
        <f>"TOTAL WORKING CAPITAL (sum lines "&amp;A92&amp;"-"&amp;A94&amp;")"</f>
        <v>TOTAL WORKING CAPITAL (sum lines 26-28)</v>
      </c>
      <c r="E95" s="32">
        <f>SUM(E92:E94)</f>
        <v>1993380.1615384617</v>
      </c>
      <c r="J95" s="32">
        <f>SUM(J92:J94)</f>
        <v>1993380.1615384617</v>
      </c>
      <c r="K95" s="8"/>
      <c r="L95" s="8"/>
      <c r="M95" s="8"/>
    </row>
    <row r="96" spans="1:14" ht="16.2" thickBot="1">
      <c r="A96" s="15"/>
      <c r="D96" s="8"/>
      <c r="E96" s="70"/>
      <c r="F96" s="8"/>
      <c r="G96" s="8"/>
      <c r="H96" s="8"/>
      <c r="I96" s="8"/>
      <c r="J96" s="70"/>
      <c r="K96" s="8"/>
    </row>
    <row r="97" spans="1:14" ht="16.2" thickBot="1">
      <c r="A97" s="15">
        <f>+A95+1</f>
        <v>30</v>
      </c>
      <c r="C97" s="1" t="str">
        <f>"RATE BASE  (sum lines "&amp;A78&amp;", "&amp;A87&amp;", "&amp;A89&amp;", &amp; "&amp;A95&amp;")"</f>
        <v>RATE BASE  (sum lines 15, 23, 24, &amp; 29)</v>
      </c>
      <c r="D97" s="8"/>
      <c r="E97" s="71">
        <f>+E78+E87+E89+E95</f>
        <v>78443007.532362029</v>
      </c>
      <c r="F97" s="8"/>
      <c r="G97" s="8"/>
      <c r="H97" s="56"/>
      <c r="I97" s="8"/>
      <c r="J97" s="71">
        <f>+J78+J87+J89+J95</f>
        <v>78443007.532362029</v>
      </c>
      <c r="K97" s="8"/>
      <c r="L97" s="8"/>
      <c r="M97" s="8"/>
    </row>
    <row r="98" spans="1:14" ht="16.2" thickTop="1">
      <c r="A98" s="15"/>
      <c r="C98" s="2"/>
      <c r="D98" s="2"/>
      <c r="E98" s="3"/>
      <c r="F98" s="2"/>
      <c r="G98" s="2"/>
      <c r="H98" s="2"/>
      <c r="I98" s="2"/>
      <c r="J98" s="72"/>
      <c r="L98" s="6"/>
      <c r="M98" s="4" t="s">
        <v>0</v>
      </c>
    </row>
    <row r="99" spans="1:14">
      <c r="A99" s="15"/>
      <c r="C99" s="2" t="s">
        <v>37</v>
      </c>
      <c r="D99" s="7"/>
      <c r="E99" s="7" t="s">
        <v>2</v>
      </c>
      <c r="F99" s="2"/>
      <c r="G99" s="2"/>
      <c r="H99" s="2"/>
      <c r="I99" s="2"/>
      <c r="J99" s="32"/>
      <c r="M99" s="6" t="s">
        <v>101</v>
      </c>
    </row>
    <row r="100" spans="1:14">
      <c r="A100" s="15"/>
      <c r="C100" s="2"/>
      <c r="D100" s="8" t="s">
        <v>3</v>
      </c>
      <c r="E100" s="8" t="s">
        <v>4</v>
      </c>
      <c r="F100" s="8"/>
      <c r="G100" s="8"/>
      <c r="H100" s="8"/>
      <c r="I100" s="2"/>
      <c r="J100" s="72"/>
    </row>
    <row r="101" spans="1:14">
      <c r="A101" s="15"/>
      <c r="C101" s="2"/>
      <c r="D101" s="8"/>
      <c r="E101" s="41"/>
      <c r="F101" s="8"/>
      <c r="G101" s="5"/>
      <c r="H101" s="8"/>
      <c r="I101" s="2"/>
      <c r="J101" s="72"/>
      <c r="K101" s="11"/>
      <c r="L101" s="11"/>
      <c r="M101" s="9" t="str">
        <f>+M57</f>
        <v>For the 12 months ended 12/31/2022</v>
      </c>
    </row>
    <row r="102" spans="1:14">
      <c r="A102" s="15"/>
      <c r="D102" s="866" t="s">
        <v>55</v>
      </c>
      <c r="E102" s="865"/>
      <c r="F102" s="865"/>
      <c r="G102" s="865"/>
      <c r="J102" s="32"/>
      <c r="K102" s="8"/>
      <c r="L102" s="8"/>
      <c r="M102" s="43"/>
    </row>
    <row r="103" spans="1:14">
      <c r="A103" s="15"/>
      <c r="E103" s="5"/>
      <c r="J103" s="32"/>
      <c r="K103" s="8"/>
      <c r="L103" s="8"/>
      <c r="M103" s="43"/>
    </row>
    <row r="104" spans="1:14">
      <c r="A104" s="15"/>
      <c r="C104" s="44" t="s">
        <v>38</v>
      </c>
      <c r="D104" s="44" t="s">
        <v>39</v>
      </c>
      <c r="E104" s="44" t="s">
        <v>40</v>
      </c>
      <c r="F104" s="8" t="s">
        <v>3</v>
      </c>
      <c r="G104" s="8"/>
      <c r="H104" s="45" t="s">
        <v>56</v>
      </c>
      <c r="I104" s="8"/>
      <c r="J104" s="73" t="s">
        <v>57</v>
      </c>
      <c r="K104" s="8"/>
      <c r="L104" s="24"/>
      <c r="M104" s="24"/>
    </row>
    <row r="105" spans="1:14">
      <c r="A105" s="15"/>
      <c r="C105" s="44"/>
      <c r="D105" s="2"/>
      <c r="E105" s="2"/>
      <c r="F105" s="2"/>
      <c r="G105" s="2"/>
      <c r="H105" s="2"/>
      <c r="I105" s="2"/>
      <c r="J105" s="72"/>
      <c r="K105" s="2"/>
      <c r="L105" s="47"/>
      <c r="M105" s="2"/>
    </row>
    <row r="106" spans="1:14">
      <c r="A106" s="15"/>
      <c r="D106" s="46"/>
      <c r="E106" s="8"/>
      <c r="F106" s="8"/>
      <c r="G106" s="8"/>
      <c r="H106" s="15"/>
      <c r="I106" s="8"/>
      <c r="J106" s="74" t="s">
        <v>58</v>
      </c>
      <c r="K106" s="8"/>
      <c r="L106" s="44"/>
      <c r="M106" s="44"/>
    </row>
    <row r="107" spans="1:14">
      <c r="A107" s="15"/>
      <c r="D107" s="48" t="s">
        <v>59</v>
      </c>
      <c r="E107" s="47" t="s">
        <v>60</v>
      </c>
      <c r="F107" s="49"/>
      <c r="G107" s="47" t="s">
        <v>61</v>
      </c>
      <c r="I107" s="49"/>
      <c r="J107" s="75" t="s">
        <v>62</v>
      </c>
      <c r="K107" s="8"/>
      <c r="L107" s="15"/>
      <c r="M107" s="15"/>
    </row>
    <row r="108" spans="1:14">
      <c r="A108" s="15"/>
      <c r="D108" s="8"/>
      <c r="E108" s="76"/>
      <c r="F108" s="77"/>
      <c r="G108" s="48"/>
      <c r="I108" s="77"/>
      <c r="J108" s="32"/>
    </row>
    <row r="109" spans="1:14">
      <c r="A109" s="15">
        <f>+A97+1</f>
        <v>31</v>
      </c>
      <c r="C109" s="1" t="s">
        <v>102</v>
      </c>
      <c r="D109" s="8"/>
      <c r="E109" s="8"/>
      <c r="I109" s="8"/>
      <c r="J109" s="32"/>
    </row>
    <row r="110" spans="1:14">
      <c r="A110" s="15">
        <f t="shared" ref="A110:A117" si="3">+A109+1</f>
        <v>32</v>
      </c>
      <c r="C110" s="1" t="s">
        <v>65</v>
      </c>
      <c r="D110" s="8" t="s">
        <v>103</v>
      </c>
      <c r="E110" s="78">
        <v>15619752</v>
      </c>
      <c r="F110" s="8"/>
      <c r="G110" s="8" t="s">
        <v>67</v>
      </c>
      <c r="H110" s="31">
        <f>+J177</f>
        <v>1</v>
      </c>
      <c r="I110" s="8"/>
      <c r="J110" s="32">
        <f t="shared" ref="J110:J117" si="4">+H110*E110</f>
        <v>15619752</v>
      </c>
      <c r="K110" s="8"/>
      <c r="L110" s="8"/>
      <c r="M110" s="8"/>
      <c r="N110" s="79"/>
    </row>
    <row r="111" spans="1:14">
      <c r="A111" s="15">
        <f t="shared" si="3"/>
        <v>33</v>
      </c>
      <c r="C111" s="1" t="s">
        <v>104</v>
      </c>
      <c r="D111" s="8" t="s">
        <v>105</v>
      </c>
      <c r="E111" s="78">
        <v>993828</v>
      </c>
      <c r="F111" s="8"/>
      <c r="G111" s="8" t="s">
        <v>67</v>
      </c>
      <c r="H111" s="31">
        <f>+H110</f>
        <v>1</v>
      </c>
      <c r="I111" s="8"/>
      <c r="J111" s="32">
        <f t="shared" si="4"/>
        <v>993828</v>
      </c>
      <c r="K111" s="8"/>
      <c r="L111" s="8"/>
      <c r="M111" s="8"/>
      <c r="N111" s="79"/>
    </row>
    <row r="112" spans="1:14">
      <c r="A112" s="15" t="s">
        <v>106</v>
      </c>
      <c r="C112" s="1" t="s">
        <v>107</v>
      </c>
      <c r="D112" s="8" t="s">
        <v>108</v>
      </c>
      <c r="E112" s="80">
        <v>-3891.6000000000931</v>
      </c>
      <c r="F112" s="8"/>
      <c r="G112" s="8" t="s">
        <v>52</v>
      </c>
      <c r="H112" s="81">
        <v>1</v>
      </c>
      <c r="I112" s="8"/>
      <c r="J112" s="32">
        <f t="shared" si="4"/>
        <v>-3891.6000000000931</v>
      </c>
      <c r="K112" s="8"/>
      <c r="L112" s="8"/>
      <c r="M112" s="8"/>
      <c r="N112" s="79"/>
    </row>
    <row r="113" spans="1:14">
      <c r="A113" s="15" t="s">
        <v>109</v>
      </c>
      <c r="C113" s="1" t="s">
        <v>110</v>
      </c>
      <c r="D113" s="8" t="s">
        <v>111</v>
      </c>
      <c r="E113" s="50">
        <f>+'2a - Cost Support'!E144</f>
        <v>997719.60000000009</v>
      </c>
      <c r="F113" s="8"/>
      <c r="G113" s="8" t="s">
        <v>52</v>
      </c>
      <c r="H113" s="81">
        <v>1</v>
      </c>
      <c r="I113" s="8"/>
      <c r="J113" s="32">
        <f t="shared" si="4"/>
        <v>997719.60000000009</v>
      </c>
      <c r="K113" s="8"/>
      <c r="L113" s="8"/>
      <c r="M113" s="8"/>
      <c r="N113" s="79"/>
    </row>
    <row r="114" spans="1:14">
      <c r="A114" s="15">
        <f>+A111+1</f>
        <v>34</v>
      </c>
      <c r="C114" s="1" t="s">
        <v>112</v>
      </c>
      <c r="D114" s="8" t="s">
        <v>113</v>
      </c>
      <c r="E114" s="78">
        <v>576046</v>
      </c>
      <c r="F114" s="8"/>
      <c r="G114" s="8" t="s">
        <v>70</v>
      </c>
      <c r="H114" s="81">
        <f>+J$183</f>
        <v>1</v>
      </c>
      <c r="I114" s="8"/>
      <c r="J114" s="32">
        <f t="shared" si="4"/>
        <v>576046</v>
      </c>
      <c r="K114" s="8"/>
      <c r="L114" s="8"/>
      <c r="M114" s="8"/>
    </row>
    <row r="115" spans="1:14">
      <c r="A115" s="15">
        <f t="shared" si="3"/>
        <v>35</v>
      </c>
      <c r="C115" s="1" t="s">
        <v>114</v>
      </c>
      <c r="D115" s="1" t="s">
        <v>115</v>
      </c>
      <c r="E115" s="50">
        <f>+'2a - Cost Support'!G76+'2a - Cost Support'!G89+'2a - Cost Support'!I107</f>
        <v>0</v>
      </c>
      <c r="F115" s="8"/>
      <c r="G115" s="8" t="s">
        <v>70</v>
      </c>
      <c r="H115" s="31">
        <f>+J$183</f>
        <v>1</v>
      </c>
      <c r="I115" s="8"/>
      <c r="J115" s="32">
        <f t="shared" si="4"/>
        <v>0</v>
      </c>
      <c r="K115" s="8"/>
      <c r="L115" s="8"/>
      <c r="M115" s="8"/>
    </row>
    <row r="116" spans="1:14">
      <c r="A116" s="15">
        <f t="shared" si="3"/>
        <v>36</v>
      </c>
      <c r="C116" s="1" t="s">
        <v>116</v>
      </c>
      <c r="D116" s="1" t="s">
        <v>117</v>
      </c>
      <c r="E116" s="50">
        <f>+'2a - Cost Support'!H89</f>
        <v>0</v>
      </c>
      <c r="F116" s="8"/>
      <c r="G116" s="8" t="s">
        <v>70</v>
      </c>
      <c r="H116" s="31">
        <f>+J$183</f>
        <v>1</v>
      </c>
      <c r="I116" s="8"/>
      <c r="J116" s="32">
        <f t="shared" si="4"/>
        <v>0</v>
      </c>
      <c r="K116" s="8"/>
      <c r="L116" s="8"/>
      <c r="M116" s="8"/>
    </row>
    <row r="117" spans="1:14">
      <c r="A117" s="15">
        <f t="shared" si="3"/>
        <v>37</v>
      </c>
      <c r="C117" s="1" t="s">
        <v>118</v>
      </c>
      <c r="D117" s="8" t="s">
        <v>119</v>
      </c>
      <c r="E117" s="50">
        <f>+'2a - Cost Support'!E167</f>
        <v>0</v>
      </c>
      <c r="F117" s="8"/>
      <c r="G117" s="8" t="s">
        <v>70</v>
      </c>
      <c r="H117" s="31">
        <f>+J$183</f>
        <v>1</v>
      </c>
      <c r="I117" s="8"/>
      <c r="J117" s="32">
        <f t="shared" si="4"/>
        <v>0</v>
      </c>
      <c r="K117" s="8"/>
      <c r="L117" s="8"/>
      <c r="M117" s="8"/>
    </row>
    <row r="118" spans="1:14">
      <c r="A118" s="15">
        <f>+A117+1</f>
        <v>38</v>
      </c>
      <c r="C118" s="1" t="str">
        <f>"TOTAL O&amp;M and A&amp;G  (sum lines "&amp;A110&amp;", "&amp;A112&amp;", "&amp;A113&amp;",  "&amp;A114&amp;", "&amp;A116&amp;", "&amp;A117&amp;" less lines "&amp;A111&amp;" &amp; "&amp;A115&amp;")"</f>
        <v>TOTAL O&amp;M and A&amp;G  (sum lines 32, 33a, 33b,  34, 36, 37 less lines 33 &amp; 35)</v>
      </c>
      <c r="D118" s="8"/>
      <c r="E118" s="32">
        <f>E110+E112+E113+E114+E116+E117-E111-E115</f>
        <v>16195798</v>
      </c>
      <c r="F118" s="32"/>
      <c r="G118" s="8"/>
      <c r="H118" s="8"/>
      <c r="I118" s="8"/>
      <c r="J118" s="32">
        <f>+J110+J114+J116+J117-J111-J115+J112+J113</f>
        <v>16195798</v>
      </c>
      <c r="K118" s="8"/>
      <c r="L118" s="8"/>
      <c r="M118" s="8"/>
    </row>
    <row r="119" spans="1:14">
      <c r="A119" s="15"/>
      <c r="D119" s="8"/>
      <c r="E119" s="32"/>
      <c r="F119" s="8"/>
      <c r="G119" s="8"/>
      <c r="H119" s="8"/>
      <c r="I119" s="8"/>
      <c r="J119" s="32"/>
      <c r="K119" s="8"/>
      <c r="L119" s="8"/>
      <c r="M119" s="8"/>
    </row>
    <row r="120" spans="1:14">
      <c r="A120" s="15">
        <f>+A118+1</f>
        <v>39</v>
      </c>
      <c r="C120" s="1" t="s">
        <v>120</v>
      </c>
      <c r="D120" s="8"/>
      <c r="E120" s="32"/>
      <c r="F120" s="8"/>
      <c r="G120" s="8"/>
      <c r="H120" s="8"/>
      <c r="I120" s="8"/>
      <c r="J120" s="32"/>
      <c r="K120" s="8"/>
      <c r="L120" s="8"/>
      <c r="M120" s="8"/>
    </row>
    <row r="121" spans="1:14">
      <c r="A121" s="15">
        <f>+A120+1</f>
        <v>40</v>
      </c>
      <c r="C121" s="1" t="str">
        <f>+C110</f>
        <v xml:space="preserve">  Transmission </v>
      </c>
      <c r="D121" s="8" t="s">
        <v>121</v>
      </c>
      <c r="E121" s="78">
        <v>1802379</v>
      </c>
      <c r="F121" s="8"/>
      <c r="G121" s="8" t="s">
        <v>67</v>
      </c>
      <c r="H121" s="31">
        <f>+J$177</f>
        <v>1</v>
      </c>
      <c r="I121" s="8"/>
      <c r="J121" s="32">
        <f>+H121*E121</f>
        <v>1802379</v>
      </c>
      <c r="K121" s="8"/>
      <c r="L121" s="8"/>
      <c r="M121" s="8"/>
      <c r="N121" s="79"/>
    </row>
    <row r="122" spans="1:14">
      <c r="A122" s="15">
        <f>+A121+1</f>
        <v>41</v>
      </c>
      <c r="C122" s="1" t="s">
        <v>122</v>
      </c>
      <c r="D122" s="8" t="s">
        <v>123</v>
      </c>
      <c r="E122" s="78">
        <v>240814</v>
      </c>
      <c r="F122" s="8"/>
      <c r="G122" s="8" t="s">
        <v>70</v>
      </c>
      <c r="H122" s="31">
        <f>+J$183</f>
        <v>1</v>
      </c>
      <c r="I122" s="8"/>
      <c r="J122" s="32">
        <f>+H122*E122</f>
        <v>240814</v>
      </c>
      <c r="K122" s="8"/>
      <c r="L122" s="8"/>
      <c r="M122" s="8"/>
      <c r="N122" s="82"/>
    </row>
    <row r="123" spans="1:14">
      <c r="A123" s="15">
        <f>+A122+1</f>
        <v>42</v>
      </c>
      <c r="C123" s="62" t="s">
        <v>124</v>
      </c>
      <c r="D123" s="63" t="s">
        <v>125</v>
      </c>
      <c r="E123" s="64">
        <f>+'2a - Cost Support'!F9</f>
        <v>0</v>
      </c>
      <c r="F123" s="63"/>
      <c r="G123" s="63" t="s">
        <v>52</v>
      </c>
      <c r="H123" s="65">
        <v>1</v>
      </c>
      <c r="I123" s="63"/>
      <c r="J123" s="66">
        <f>+H123*E123</f>
        <v>0</v>
      </c>
      <c r="K123" s="8"/>
      <c r="L123" s="8"/>
      <c r="M123" s="8"/>
      <c r="N123" s="82"/>
    </row>
    <row r="124" spans="1:14">
      <c r="A124" s="15">
        <f>+A123+1</f>
        <v>43</v>
      </c>
      <c r="C124" s="67" t="str">
        <f>"TOTAL DEPRECIATION (Sum lines "&amp;A121&amp;"-"&amp;A123&amp;")"</f>
        <v>TOTAL DEPRECIATION (Sum lines 40-42)</v>
      </c>
      <c r="D124" s="8"/>
      <c r="E124" s="32">
        <f>SUM(E121:E123)</f>
        <v>2043193</v>
      </c>
      <c r="F124" s="8"/>
      <c r="G124" s="8"/>
      <c r="H124" s="31"/>
      <c r="I124" s="8"/>
      <c r="J124" s="32">
        <f>SUM(J121:J123)</f>
        <v>2043193</v>
      </c>
      <c r="K124" s="8"/>
      <c r="L124" s="8"/>
      <c r="M124" s="8"/>
    </row>
    <row r="125" spans="1:14">
      <c r="A125" s="15"/>
      <c r="D125" s="8"/>
      <c r="E125" s="32"/>
      <c r="F125" s="8"/>
      <c r="G125" s="8"/>
      <c r="H125" s="31"/>
      <c r="I125" s="8"/>
      <c r="J125" s="32"/>
      <c r="K125" s="8"/>
      <c r="L125" s="8"/>
      <c r="M125" s="8"/>
    </row>
    <row r="126" spans="1:14">
      <c r="A126" s="15">
        <f>+A124+1</f>
        <v>44</v>
      </c>
      <c r="C126" s="1" t="str">
        <f>"TAXES OTHER THAN INCOME TAXES  (Note "&amp;A227&amp;")"</f>
        <v>TAXES OTHER THAN INCOME TAXES  (Note E)</v>
      </c>
      <c r="E126" s="32"/>
      <c r="F126" s="8"/>
      <c r="G126" s="8"/>
      <c r="H126" s="31"/>
      <c r="I126" s="8"/>
      <c r="J126" s="32"/>
      <c r="K126" s="8"/>
      <c r="L126" s="8"/>
      <c r="M126" s="8"/>
    </row>
    <row r="127" spans="1:14">
      <c r="A127" s="15">
        <f t="shared" ref="A127:A133" si="5">+A126+1</f>
        <v>45</v>
      </c>
      <c r="C127" s="1" t="s">
        <v>126</v>
      </c>
      <c r="E127" s="32"/>
      <c r="F127" s="8"/>
      <c r="G127" s="8"/>
      <c r="H127" s="31"/>
      <c r="I127" s="8"/>
      <c r="J127" s="32"/>
      <c r="K127" s="8"/>
      <c r="L127" s="8"/>
      <c r="M127" s="8"/>
    </row>
    <row r="128" spans="1:14">
      <c r="A128" s="15">
        <f t="shared" si="5"/>
        <v>46</v>
      </c>
      <c r="C128" s="1" t="s">
        <v>127</v>
      </c>
      <c r="D128" s="83" t="s">
        <v>128</v>
      </c>
      <c r="E128" s="78">
        <v>0</v>
      </c>
      <c r="F128" s="8"/>
      <c r="G128" s="8" t="s">
        <v>70</v>
      </c>
      <c r="H128" s="31">
        <f>+J$183</f>
        <v>1</v>
      </c>
      <c r="I128" s="8"/>
      <c r="J128" s="32">
        <f>+H128*E128</f>
        <v>0</v>
      </c>
      <c r="K128" s="8"/>
      <c r="L128" s="8"/>
      <c r="M128" s="8"/>
    </row>
    <row r="129" spans="1:14">
      <c r="A129" s="15">
        <f t="shared" si="5"/>
        <v>47</v>
      </c>
      <c r="C129" s="1" t="s">
        <v>129</v>
      </c>
      <c r="D129" s="83" t="s">
        <v>128</v>
      </c>
      <c r="E129" s="78">
        <v>0</v>
      </c>
      <c r="F129" s="8"/>
      <c r="G129" s="8" t="str">
        <f>+G128</f>
        <v>W/S</v>
      </c>
      <c r="H129" s="31">
        <f>+J$183</f>
        <v>1</v>
      </c>
      <c r="I129" s="8"/>
      <c r="J129" s="32">
        <f>+H129*E129</f>
        <v>0</v>
      </c>
      <c r="K129" s="8"/>
      <c r="L129" s="8"/>
      <c r="M129" s="8"/>
    </row>
    <row r="130" spans="1:14">
      <c r="A130" s="15">
        <f t="shared" si="5"/>
        <v>48</v>
      </c>
      <c r="C130" s="1" t="s">
        <v>130</v>
      </c>
      <c r="D130" s="84" t="s">
        <v>3</v>
      </c>
      <c r="E130" s="32"/>
      <c r="F130" s="8"/>
      <c r="G130" s="8"/>
      <c r="H130" s="31"/>
      <c r="I130" s="8"/>
      <c r="J130" s="32"/>
      <c r="K130" s="8"/>
      <c r="L130" s="8"/>
      <c r="M130" s="8"/>
    </row>
    <row r="131" spans="1:14">
      <c r="A131" s="15">
        <f t="shared" si="5"/>
        <v>49</v>
      </c>
      <c r="C131" s="1" t="s">
        <v>131</v>
      </c>
      <c r="D131" s="83" t="s">
        <v>132</v>
      </c>
      <c r="E131" s="78">
        <v>934507</v>
      </c>
      <c r="F131" s="8"/>
      <c r="G131" s="8" t="s">
        <v>100</v>
      </c>
      <c r="H131" s="59">
        <f>+H$68</f>
        <v>1</v>
      </c>
      <c r="I131" s="8"/>
      <c r="J131" s="32">
        <f>+H131*E131</f>
        <v>934507</v>
      </c>
      <c r="L131" s="85"/>
      <c r="M131" s="8"/>
    </row>
    <row r="132" spans="1:14">
      <c r="A132" s="15">
        <f t="shared" si="5"/>
        <v>50</v>
      </c>
      <c r="C132" s="1" t="s">
        <v>133</v>
      </c>
      <c r="D132" s="83" t="s">
        <v>128</v>
      </c>
      <c r="E132" s="78">
        <v>0</v>
      </c>
      <c r="F132" s="8"/>
      <c r="G132" s="8" t="s">
        <v>134</v>
      </c>
      <c r="H132" s="86">
        <v>0</v>
      </c>
      <c r="I132" s="8"/>
      <c r="J132" s="32">
        <f>+H132*E132</f>
        <v>0</v>
      </c>
      <c r="K132" s="8"/>
      <c r="L132" s="8"/>
      <c r="M132" s="8"/>
    </row>
    <row r="133" spans="1:14">
      <c r="A133" s="15">
        <f t="shared" si="5"/>
        <v>51</v>
      </c>
      <c r="C133" s="1" t="s">
        <v>135</v>
      </c>
      <c r="D133" s="83" t="s">
        <v>128</v>
      </c>
      <c r="E133" s="78">
        <v>0</v>
      </c>
      <c r="F133" s="8"/>
      <c r="G133" s="8" t="str">
        <f>+G131</f>
        <v>GP</v>
      </c>
      <c r="H133" s="59">
        <f>+H$68</f>
        <v>1</v>
      </c>
      <c r="I133" s="8"/>
      <c r="J133" s="32">
        <f>+H133*E133</f>
        <v>0</v>
      </c>
      <c r="K133" s="8"/>
      <c r="L133" s="8"/>
      <c r="M133" s="8"/>
    </row>
    <row r="134" spans="1:14">
      <c r="A134" s="15">
        <f>+A133+1</f>
        <v>52</v>
      </c>
      <c r="C134" s="1" t="str">
        <f>"TOTAL OTHER TAXES  (sum lines "&amp;A128&amp;"-"&amp;A129&amp;" and lines "&amp;A131&amp;"-"&amp;A133&amp;")"</f>
        <v>TOTAL OTHER TAXES  (sum lines 46-47 and lines 49-51)</v>
      </c>
      <c r="D134" s="8"/>
      <c r="E134" s="32">
        <f>SUM(E128:E133)</f>
        <v>934507</v>
      </c>
      <c r="F134" s="8"/>
      <c r="G134" s="8"/>
      <c r="H134" s="31"/>
      <c r="I134" s="8"/>
      <c r="J134" s="32">
        <f>SUM(J128:J133)</f>
        <v>934507</v>
      </c>
      <c r="K134" s="8"/>
      <c r="L134" s="8"/>
      <c r="M134" s="8"/>
    </row>
    <row r="135" spans="1:14">
      <c r="A135" s="15"/>
      <c r="D135" s="8"/>
      <c r="E135" s="8"/>
      <c r="F135" s="8"/>
      <c r="G135" s="8"/>
      <c r="H135" s="31"/>
      <c r="I135" s="8"/>
      <c r="J135" s="32"/>
      <c r="K135" s="8"/>
      <c r="L135" s="8"/>
      <c r="M135" s="8"/>
    </row>
    <row r="136" spans="1:14">
      <c r="A136" s="15">
        <f>+A134+1</f>
        <v>53</v>
      </c>
      <c r="C136" s="1" t="s">
        <v>136</v>
      </c>
      <c r="D136" s="8" t="str">
        <f>" (Note "&amp;A228&amp;")"</f>
        <v xml:space="preserve"> (Note F)</v>
      </c>
      <c r="E136" s="8"/>
      <c r="F136" s="8"/>
      <c r="H136" s="55"/>
      <c r="I136" s="8"/>
      <c r="J136" s="32"/>
      <c r="K136" s="8"/>
      <c r="L136" s="8"/>
      <c r="M136" s="8"/>
      <c r="N136" s="82"/>
    </row>
    <row r="137" spans="1:14">
      <c r="A137" s="15">
        <f t="shared" ref="A137:A142" si="6">+A136+1</f>
        <v>54</v>
      </c>
      <c r="C137" s="87" t="s">
        <v>137</v>
      </c>
      <c r="D137" s="8"/>
      <c r="E137" s="86">
        <f>IF(E229&gt;0,1-(((1-E230)*(1-E229))/(1-E230*E229*E231)),0)</f>
        <v>0.27983599999999997</v>
      </c>
      <c r="F137" s="8"/>
      <c r="H137" s="88"/>
      <c r="I137" s="8"/>
      <c r="J137" s="32"/>
      <c r="K137" s="8"/>
      <c r="L137" s="8"/>
      <c r="M137" s="8"/>
      <c r="N137" s="82"/>
    </row>
    <row r="138" spans="1:14">
      <c r="A138" s="15">
        <f t="shared" si="6"/>
        <v>55</v>
      </c>
      <c r="C138" s="1" t="s">
        <v>138</v>
      </c>
      <c r="D138" s="8"/>
      <c r="E138" s="86">
        <f>IF(J190&gt;0,(E137/(1-E137))*(1-J187/J190),0)</f>
        <v>0.30991164095003387</v>
      </c>
      <c r="F138" s="8"/>
      <c r="H138" s="88"/>
      <c r="I138" s="8"/>
      <c r="J138" s="32"/>
      <c r="K138" s="8"/>
      <c r="L138" s="8"/>
      <c r="M138" s="8"/>
      <c r="N138" s="82"/>
    </row>
    <row r="139" spans="1:14">
      <c r="A139" s="15">
        <f t="shared" si="6"/>
        <v>56</v>
      </c>
      <c r="C139" s="1" t="str">
        <f>"       where WCLTD=(line "&amp;A187&amp;") and R= (line "&amp;A190&amp;")"</f>
        <v xml:space="preserve">       where WCLTD=(line 80) and R= (line 83)</v>
      </c>
      <c r="D139" s="8"/>
      <c r="E139" s="8"/>
      <c r="F139" s="8"/>
      <c r="H139" s="88"/>
      <c r="I139" s="8"/>
      <c r="J139" s="32"/>
      <c r="K139" s="8"/>
      <c r="L139" s="8"/>
      <c r="M139" s="8"/>
      <c r="N139" s="82"/>
    </row>
    <row r="140" spans="1:14">
      <c r="A140" s="15">
        <f t="shared" si="6"/>
        <v>57</v>
      </c>
      <c r="C140" s="1" t="str">
        <f>"       and FIT, SIT &amp; p are as given in footnote "&amp;A228&amp;"."</f>
        <v xml:space="preserve">       and FIT, SIT &amp; p are as given in footnote F.</v>
      </c>
      <c r="D140" s="8"/>
      <c r="E140" s="8"/>
      <c r="F140" s="8"/>
      <c r="H140" s="88"/>
      <c r="I140" s="8"/>
      <c r="J140" s="32"/>
      <c r="K140" s="8"/>
      <c r="L140" s="8"/>
      <c r="M140" s="8"/>
      <c r="N140" s="82"/>
    </row>
    <row r="141" spans="1:14">
      <c r="A141" s="15">
        <f t="shared" si="6"/>
        <v>58</v>
      </c>
      <c r="C141" s="87" t="str">
        <f>"      1 / (1 - T)  = (T from line "&amp;A137&amp;")"</f>
        <v xml:space="preserve">      1 / (1 - T)  = (T from line 54)</v>
      </c>
      <c r="D141" s="8"/>
      <c r="E141" s="86">
        <f>IF(E137&gt;0,1/(1-E137),0)</f>
        <v>1.3885726029071155</v>
      </c>
      <c r="F141" s="8"/>
      <c r="H141" s="88"/>
      <c r="I141" s="8"/>
      <c r="J141" s="32"/>
      <c r="K141" s="8"/>
      <c r="L141" s="8"/>
      <c r="M141" s="8"/>
      <c r="N141" s="82"/>
    </row>
    <row r="142" spans="1:14">
      <c r="A142" s="15">
        <f t="shared" si="6"/>
        <v>59</v>
      </c>
      <c r="C142" s="1" t="s">
        <v>139</v>
      </c>
      <c r="D142" s="8"/>
      <c r="E142" s="78">
        <v>0</v>
      </c>
      <c r="F142" s="8"/>
      <c r="H142" s="88"/>
      <c r="I142" s="8"/>
      <c r="J142" s="32"/>
      <c r="K142" s="8"/>
      <c r="L142" s="8"/>
      <c r="M142" s="8"/>
      <c r="N142" s="82"/>
    </row>
    <row r="143" spans="1:14">
      <c r="A143" s="15" t="s">
        <v>140</v>
      </c>
      <c r="C143" s="1" t="s">
        <v>141</v>
      </c>
      <c r="D143" s="8" t="s">
        <v>142</v>
      </c>
      <c r="E143" s="78">
        <f>'12 - Income Tax Adjustment'!D10</f>
        <v>508597</v>
      </c>
      <c r="F143" s="8"/>
      <c r="H143" s="88"/>
      <c r="I143" s="8"/>
      <c r="J143" s="32"/>
      <c r="K143" s="8"/>
      <c r="L143" s="8"/>
      <c r="M143" s="8"/>
      <c r="N143" s="82"/>
    </row>
    <row r="144" spans="1:14">
      <c r="A144" s="15"/>
      <c r="D144" s="8"/>
      <c r="E144" s="32"/>
      <c r="F144" s="8"/>
      <c r="H144" s="88"/>
      <c r="I144" s="8"/>
      <c r="J144" s="32"/>
      <c r="K144" s="8"/>
      <c r="L144" s="8"/>
      <c r="M144" s="8"/>
      <c r="N144" s="82"/>
    </row>
    <row r="145" spans="1:14">
      <c r="A145" s="15">
        <f>+A142+1</f>
        <v>60</v>
      </c>
      <c r="C145" s="87" t="str">
        <f>"Income Tax Calculation = line "&amp;A138&amp;" * line "&amp;A151&amp;""</f>
        <v>Income Tax Calculation = line 55 * line 64</v>
      </c>
      <c r="D145" s="89"/>
      <c r="E145" s="32">
        <f>+E138*E151</f>
        <v>1878090.4577350749</v>
      </c>
      <c r="F145" s="8"/>
      <c r="G145" s="8" t="s">
        <v>134</v>
      </c>
      <c r="H145" s="37"/>
      <c r="I145" s="8"/>
      <c r="J145" s="32">
        <f>+E138*J151</f>
        <v>1878090.4577350749</v>
      </c>
      <c r="K145" s="8"/>
      <c r="L145" s="8"/>
      <c r="M145" s="8"/>
    </row>
    <row r="146" spans="1:14">
      <c r="A146" s="15">
        <f>+A145+1</f>
        <v>61</v>
      </c>
      <c r="C146" s="1" t="str">
        <f>"ITC adjustment (line "&amp;A141&amp;" * line "&amp;A142&amp;")"</f>
        <v>ITC adjustment (line 58 * line 59)</v>
      </c>
      <c r="D146" s="89"/>
      <c r="E146" s="90">
        <f>+E141*E142</f>
        <v>0</v>
      </c>
      <c r="F146" s="8"/>
      <c r="G146" s="1" t="s">
        <v>83</v>
      </c>
      <c r="H146" s="61">
        <f>+H$78</f>
        <v>1</v>
      </c>
      <c r="I146" s="8"/>
      <c r="J146" s="90">
        <f>+H146*E146</f>
        <v>0</v>
      </c>
      <c r="K146" s="8"/>
      <c r="L146" s="8"/>
      <c r="M146" s="8"/>
    </row>
    <row r="147" spans="1:14">
      <c r="A147" s="15" t="s">
        <v>143</v>
      </c>
      <c r="C147" s="1" t="s">
        <v>144</v>
      </c>
      <c r="D147" s="89"/>
      <c r="E147" s="90">
        <f>E137/(1-E137)*E143</f>
        <v>197626.86012075024</v>
      </c>
      <c r="F147" s="8"/>
      <c r="H147" s="61"/>
      <c r="I147" s="8"/>
      <c r="J147" s="90">
        <f>E147</f>
        <v>197626.86012075024</v>
      </c>
      <c r="K147" s="8"/>
      <c r="L147" s="8"/>
      <c r="M147" s="8"/>
    </row>
    <row r="148" spans="1:14" s="98" customFormat="1">
      <c r="A148" s="91">
        <f>+A146+1</f>
        <v>62</v>
      </c>
      <c r="B148" s="92"/>
      <c r="C148" s="93" t="s">
        <v>145</v>
      </c>
      <c r="D148" s="92" t="str">
        <f>"(line "&amp;A145&amp;" plus line "&amp;A146&amp;" plus line "&amp;A149&amp;")"</f>
        <v>(line 60 plus line 61 plus line )</v>
      </c>
      <c r="E148" s="94">
        <f>+E146+E145+E147</f>
        <v>2075717.3178558252</v>
      </c>
      <c r="F148" s="95"/>
      <c r="G148" s="95" t="s">
        <v>3</v>
      </c>
      <c r="H148" s="96" t="s">
        <v>3</v>
      </c>
      <c r="I148" s="95"/>
      <c r="J148" s="94">
        <f>+J145+J146+J147</f>
        <v>2075717.3178558252</v>
      </c>
      <c r="K148" s="95"/>
      <c r="L148" s="97"/>
      <c r="M148" s="95"/>
    </row>
    <row r="149" spans="1:14">
      <c r="A149" s="15"/>
      <c r="D149" s="99"/>
      <c r="E149" s="32"/>
      <c r="F149" s="8"/>
      <c r="G149" s="8"/>
      <c r="H149" s="37"/>
      <c r="I149" s="8"/>
      <c r="J149" s="32"/>
      <c r="K149" s="8"/>
      <c r="L149" s="99"/>
      <c r="M149" s="8"/>
    </row>
    <row r="150" spans="1:14">
      <c r="A150" s="15">
        <f>+A148+1</f>
        <v>63</v>
      </c>
      <c r="C150" s="1" t="s">
        <v>146</v>
      </c>
      <c r="D150" s="56"/>
      <c r="E150" s="32"/>
      <c r="H150" s="88"/>
      <c r="I150" s="8"/>
      <c r="K150" s="8"/>
      <c r="L150" s="99"/>
      <c r="M150" s="8"/>
      <c r="N150" s="82"/>
    </row>
    <row r="151" spans="1:14">
      <c r="A151" s="15">
        <f>+A150+1</f>
        <v>64</v>
      </c>
      <c r="C151" s="100" t="str">
        <f>"  [ Rate Base (line "&amp;A97&amp;") * Rate of Return (line "&amp;A190&amp;")]"</f>
        <v xml:space="preserve">  [ Rate Base (line 30) * Rate of Return (line 83)]</v>
      </c>
      <c r="E151" s="32">
        <f>+J190*E97</f>
        <v>6060083.616019683</v>
      </c>
      <c r="F151" s="8"/>
      <c r="G151" s="8" t="s">
        <v>134</v>
      </c>
      <c r="H151" s="88"/>
      <c r="I151" s="8"/>
      <c r="J151" s="32">
        <f>+J97*J190</f>
        <v>6060083.616019683</v>
      </c>
      <c r="K151" s="8"/>
      <c r="L151" s="99"/>
      <c r="M151" s="8"/>
      <c r="N151" s="82"/>
    </row>
    <row r="152" spans="1:14">
      <c r="A152" s="15"/>
      <c r="E152" s="8"/>
      <c r="F152" s="8"/>
      <c r="G152" s="8"/>
      <c r="H152" s="88"/>
      <c r="I152" s="8"/>
      <c r="J152" s="90"/>
      <c r="K152" s="8"/>
      <c r="L152" s="99"/>
      <c r="M152" s="8"/>
      <c r="N152" s="82"/>
    </row>
    <row r="153" spans="1:14">
      <c r="A153" s="15">
        <f>+A151+1</f>
        <v>65</v>
      </c>
      <c r="C153" s="1" t="str">
        <f>"Rev Requirement before Incenitive Projects  (sum lines "&amp;A118&amp;", "&amp;A124&amp;", "&amp;A134&amp;", "&amp;A148&amp;", "&amp;A151&amp;")"</f>
        <v>Rev Requirement before Incenitive Projects  (sum lines 38, 43, 52, 62, 64)</v>
      </c>
      <c r="E153" s="90">
        <f>+E118+E124+E134+E148+E151</f>
        <v>27309298.933875509</v>
      </c>
      <c r="F153" s="8"/>
      <c r="G153" s="8"/>
      <c r="H153" s="88"/>
      <c r="I153" s="8"/>
      <c r="J153" s="90">
        <f>+J118+J124+J134+J148+J151</f>
        <v>27309298.933875509</v>
      </c>
      <c r="K153" s="8"/>
      <c r="L153" s="99"/>
      <c r="M153" s="8"/>
      <c r="N153" s="82"/>
    </row>
    <row r="154" spans="1:14">
      <c r="A154" s="15"/>
      <c r="E154" s="101"/>
      <c r="F154" s="8"/>
      <c r="G154" s="8"/>
      <c r="H154" s="88"/>
      <c r="I154" s="8"/>
      <c r="J154" s="90"/>
      <c r="K154" s="8"/>
      <c r="L154" s="99"/>
      <c r="M154" s="8"/>
      <c r="N154" s="82"/>
    </row>
    <row r="155" spans="1:14">
      <c r="A155" s="15">
        <f>+A153+1</f>
        <v>66</v>
      </c>
      <c r="C155" s="1" t="s">
        <v>147</v>
      </c>
      <c r="D155" s="1" t="s">
        <v>148</v>
      </c>
      <c r="E155" s="60">
        <f>+'4 - Cap Adds'!L31</f>
        <v>0</v>
      </c>
      <c r="F155" s="8"/>
      <c r="G155" s="8" t="s">
        <v>52</v>
      </c>
      <c r="H155" s="55">
        <v>1</v>
      </c>
      <c r="I155" s="8"/>
      <c r="J155" s="90">
        <f>+H155*E155</f>
        <v>0</v>
      </c>
      <c r="L155" s="8"/>
      <c r="M155" s="8"/>
      <c r="N155" s="82"/>
    </row>
    <row r="156" spans="1:14">
      <c r="A156" s="15"/>
      <c r="E156" s="8"/>
      <c r="F156" s="8"/>
      <c r="G156" s="8"/>
      <c r="H156" s="88"/>
      <c r="I156" s="8"/>
      <c r="J156" s="90"/>
      <c r="K156" s="8"/>
      <c r="L156" s="8"/>
      <c r="M156" s="8"/>
      <c r="N156" s="82"/>
    </row>
    <row r="157" spans="1:14" ht="16.2" thickBot="1">
      <c r="A157" s="15">
        <f>+A155+1</f>
        <v>67</v>
      </c>
      <c r="C157" s="1" t="str">
        <f>"Total Revenue Requirement  (sum lines "&amp;A153&amp;" &amp; "&amp;A155&amp;")"</f>
        <v>Total Revenue Requirement  (sum lines 65 &amp; 66)</v>
      </c>
      <c r="D157" s="8"/>
      <c r="E157" s="71">
        <f>+E153+E155</f>
        <v>27309298.933875509</v>
      </c>
      <c r="F157" s="8"/>
      <c r="G157" s="8"/>
      <c r="H157" s="8"/>
      <c r="I157" s="8"/>
      <c r="J157" s="71">
        <f>+J153+J155</f>
        <v>27309298.933875509</v>
      </c>
      <c r="K157" s="8"/>
      <c r="L157" s="102"/>
      <c r="M157" s="8"/>
    </row>
    <row r="158" spans="1:14" ht="16.2" thickTop="1">
      <c r="A158" s="15"/>
      <c r="C158" s="2"/>
      <c r="D158" s="2"/>
      <c r="E158" s="3"/>
      <c r="F158" s="2"/>
      <c r="G158" s="2"/>
      <c r="H158" s="2"/>
      <c r="I158" s="2"/>
      <c r="J158" s="2"/>
      <c r="K158" s="15"/>
      <c r="L158" s="15"/>
      <c r="M158" s="4"/>
    </row>
    <row r="159" spans="1:14">
      <c r="A159" s="15"/>
      <c r="C159" s="2"/>
      <c r="D159" s="2"/>
      <c r="E159" s="103"/>
      <c r="F159" s="2"/>
      <c r="G159" s="2"/>
      <c r="H159" s="2"/>
      <c r="I159" s="2"/>
      <c r="J159" s="4"/>
      <c r="K159" s="4"/>
      <c r="L159" s="4"/>
      <c r="M159" s="4" t="s">
        <v>0</v>
      </c>
    </row>
    <row r="160" spans="1:14">
      <c r="A160" s="15"/>
      <c r="C160" s="2"/>
      <c r="D160" s="2"/>
      <c r="E160" s="3"/>
      <c r="F160" s="2"/>
      <c r="G160" s="2"/>
      <c r="H160" s="2"/>
      <c r="I160" s="2"/>
      <c r="J160" s="6"/>
      <c r="K160" s="6"/>
      <c r="L160" s="6"/>
      <c r="M160" s="6" t="s">
        <v>149</v>
      </c>
    </row>
    <row r="161" spans="1:13">
      <c r="A161" s="15"/>
      <c r="C161" s="2"/>
      <c r="D161" s="2"/>
      <c r="E161" s="3"/>
      <c r="F161" s="2"/>
      <c r="G161" s="2"/>
      <c r="H161" s="2"/>
      <c r="I161" s="2"/>
      <c r="J161" s="2"/>
      <c r="L161" s="6"/>
      <c r="M161" s="6"/>
    </row>
    <row r="162" spans="1:13">
      <c r="A162" s="15"/>
      <c r="C162" s="2"/>
      <c r="D162" s="2"/>
      <c r="E162" s="3"/>
      <c r="F162" s="2"/>
      <c r="G162" s="2"/>
      <c r="H162" s="2"/>
      <c r="I162" s="2"/>
      <c r="J162" s="2"/>
      <c r="L162" s="6"/>
    </row>
    <row r="163" spans="1:13">
      <c r="A163" s="15"/>
      <c r="C163" s="2" t="s">
        <v>37</v>
      </c>
      <c r="D163" s="7"/>
      <c r="E163" s="15" t="s">
        <v>150</v>
      </c>
      <c r="F163" s="2"/>
      <c r="G163" s="2"/>
      <c r="H163" s="2"/>
      <c r="I163" s="2"/>
    </row>
    <row r="164" spans="1:13">
      <c r="A164" s="15"/>
      <c r="C164" s="2"/>
      <c r="D164" s="8"/>
      <c r="E164" s="68" t="s">
        <v>4</v>
      </c>
      <c r="F164" s="8"/>
      <c r="G164" s="8"/>
      <c r="H164" s="8"/>
      <c r="I164" s="2"/>
      <c r="J164" s="2"/>
    </row>
    <row r="165" spans="1:13">
      <c r="A165" s="15"/>
      <c r="E165" s="17"/>
      <c r="G165" s="104"/>
      <c r="K165" s="11"/>
      <c r="L165" s="11"/>
      <c r="M165" s="9" t="str">
        <f>+M101</f>
        <v>For the 12 months ended 12/31/2022</v>
      </c>
    </row>
    <row r="166" spans="1:13">
      <c r="A166" s="15"/>
      <c r="D166" s="859" t="s">
        <v>151</v>
      </c>
      <c r="E166" s="860"/>
      <c r="F166" s="860"/>
      <c r="G166" s="860"/>
      <c r="M166" s="14"/>
    </row>
    <row r="167" spans="1:13">
      <c r="A167" s="15"/>
      <c r="E167" s="5"/>
      <c r="K167" s="8"/>
      <c r="M167" s="43"/>
    </row>
    <row r="168" spans="1:13">
      <c r="A168" s="15"/>
      <c r="E168" s="48" t="s">
        <v>152</v>
      </c>
      <c r="K168" s="8"/>
      <c r="L168" s="8"/>
    </row>
    <row r="169" spans="1:13">
      <c r="A169" s="15"/>
      <c r="C169" s="12"/>
      <c r="K169" s="8"/>
      <c r="L169" s="8"/>
    </row>
    <row r="170" spans="1:13">
      <c r="A170" s="15">
        <f>+A157+1</f>
        <v>68</v>
      </c>
      <c r="C170" s="2" t="s">
        <v>153</v>
      </c>
      <c r="J170" s="6"/>
      <c r="K170" s="43"/>
      <c r="L170" s="43"/>
      <c r="M170" s="6"/>
    </row>
    <row r="171" spans="1:13">
      <c r="A171" s="15"/>
      <c r="C171" s="2"/>
      <c r="J171" s="43"/>
      <c r="K171" s="43"/>
      <c r="L171" s="43"/>
      <c r="M171" s="43"/>
    </row>
    <row r="172" spans="1:13">
      <c r="A172" s="15">
        <f>+A170+1</f>
        <v>69</v>
      </c>
      <c r="C172" s="2" t="str">
        <f>"Total transmission plant    (line "&amp;A66&amp;", column 3)"</f>
        <v>Total transmission plant    (line 5, column 3)</v>
      </c>
      <c r="E172" s="8"/>
      <c r="F172" s="8"/>
      <c r="G172" s="8"/>
      <c r="H172" s="8"/>
      <c r="I172" s="8"/>
      <c r="J172" s="30">
        <f>+E66</f>
        <v>68223082.33461538</v>
      </c>
      <c r="K172" s="8"/>
      <c r="L172" s="8"/>
      <c r="M172" s="8"/>
    </row>
    <row r="173" spans="1:13">
      <c r="A173" s="15">
        <f>+A172+1</f>
        <v>70</v>
      </c>
      <c r="C173" s="2" t="str">
        <f>"Less transmission plant excluded from CAISO rates       (Attach 2, line 132) (Note "&amp;A234&amp;")"</f>
        <v>Less transmission plant excluded from CAISO rates       (Attach 2, line 132) (Note H)</v>
      </c>
      <c r="J173" s="30">
        <f>+'2a - Cost Support'!G114</f>
        <v>0</v>
      </c>
      <c r="K173" s="8"/>
    </row>
    <row r="174" spans="1:13" ht="16.2" thickBot="1">
      <c r="A174" s="15">
        <f>+A173+1</f>
        <v>71</v>
      </c>
      <c r="C174" s="105" t="str">
        <f>"Less transmission plant included in OATT Ancillary Services   (Attach 2, line 132a) (Note "&amp;A234&amp;")"</f>
        <v>Less transmission plant included in OATT Ancillary Services   (Attach 2, line 132a) (Note H)</v>
      </c>
      <c r="D174" s="106"/>
      <c r="E174" s="107"/>
      <c r="F174" s="8"/>
      <c r="G174" s="8"/>
      <c r="H174" s="68"/>
      <c r="I174" s="8"/>
      <c r="J174" s="108">
        <f>+'2a - Cost Support'!G115</f>
        <v>0</v>
      </c>
      <c r="K174" s="8"/>
    </row>
    <row r="175" spans="1:13">
      <c r="A175" s="15">
        <f>+A174+1</f>
        <v>72</v>
      </c>
      <c r="C175" s="2" t="str">
        <f>"Transmission plant included in RTO rates  (line "&amp;A172&amp;" less lines "&amp;A173&amp;" &amp; "&amp;A174&amp;")"</f>
        <v>Transmission plant included in RTO rates  (line 69 less lines 70 &amp; 71)</v>
      </c>
      <c r="E175" s="8"/>
      <c r="F175" s="8"/>
      <c r="G175" s="8"/>
      <c r="H175" s="68"/>
      <c r="I175" s="8"/>
      <c r="J175" s="30">
        <f>+J172-J173-J174</f>
        <v>68223082.33461538</v>
      </c>
      <c r="K175" s="8"/>
    </row>
    <row r="176" spans="1:13">
      <c r="A176" s="15"/>
      <c r="E176" s="8"/>
      <c r="F176" s="8"/>
      <c r="G176" s="8"/>
      <c r="H176" s="68"/>
      <c r="I176" s="8"/>
      <c r="K176" s="8"/>
    </row>
    <row r="177" spans="1:14">
      <c r="A177" s="15">
        <f>+A175+1</f>
        <v>73</v>
      </c>
      <c r="C177" s="2" t="str">
        <f>"Percentage of transmission plant included in RTO Rates (line "&amp;A175&amp;" divided by line "&amp;A172&amp;") [If line "&amp;A172&amp;" equal zero, enter 1)"</f>
        <v>Percentage of transmission plant included in RTO Rates (line 72 divided by line 69) [If line 69 equal zero, enter 1)</v>
      </c>
      <c r="D177" s="23"/>
      <c r="E177" s="23"/>
      <c r="F177" s="23"/>
      <c r="G177" s="23"/>
      <c r="H177" s="45"/>
      <c r="I177" s="8" t="s">
        <v>154</v>
      </c>
      <c r="J177" s="86">
        <f>J175/J172</f>
        <v>1</v>
      </c>
      <c r="K177" s="109"/>
    </row>
    <row r="178" spans="1:14">
      <c r="A178" s="15"/>
      <c r="K178" s="8"/>
    </row>
    <row r="179" spans="1:14">
      <c r="A179" s="15">
        <f>+A177+1</f>
        <v>74</v>
      </c>
      <c r="C179" s="1" t="s">
        <v>155</v>
      </c>
      <c r="D179" s="8"/>
      <c r="F179" s="8"/>
      <c r="G179" s="8"/>
      <c r="H179" s="8"/>
      <c r="I179" s="43"/>
      <c r="J179" s="8"/>
    </row>
    <row r="180" spans="1:14" ht="16.2" thickBot="1">
      <c r="A180" s="15">
        <f>+A179+1</f>
        <v>75</v>
      </c>
      <c r="D180" s="107" t="s">
        <v>156</v>
      </c>
      <c r="E180" s="110" t="s">
        <v>157</v>
      </c>
      <c r="F180" s="110" t="s">
        <v>67</v>
      </c>
      <c r="G180" s="8"/>
      <c r="H180" s="110" t="s">
        <v>158</v>
      </c>
      <c r="I180" s="8"/>
      <c r="M180" s="8"/>
    </row>
    <row r="181" spans="1:14">
      <c r="A181" s="15">
        <f>+A180+1</f>
        <v>76</v>
      </c>
      <c r="C181" s="1" t="s">
        <v>77</v>
      </c>
      <c r="D181" s="8" t="s">
        <v>159</v>
      </c>
      <c r="E181" s="111">
        <v>1</v>
      </c>
      <c r="F181" s="30">
        <f>+J177</f>
        <v>1</v>
      </c>
      <c r="H181" s="112">
        <f>+F181*E181</f>
        <v>1</v>
      </c>
      <c r="I181" s="8"/>
      <c r="K181" s="8"/>
      <c r="L181" s="8"/>
      <c r="M181" s="8"/>
      <c r="N181" s="53"/>
    </row>
    <row r="182" spans="1:14" ht="16.2" thickBot="1">
      <c r="A182" s="15">
        <f>+A181+1</f>
        <v>77</v>
      </c>
      <c r="C182" s="1" t="s">
        <v>160</v>
      </c>
      <c r="D182" s="8" t="s">
        <v>161</v>
      </c>
      <c r="E182" s="113">
        <v>0</v>
      </c>
      <c r="F182" s="114" t="s">
        <v>162</v>
      </c>
      <c r="G182" s="114"/>
      <c r="H182" s="115"/>
      <c r="I182" s="8"/>
      <c r="J182" s="25" t="s">
        <v>163</v>
      </c>
      <c r="K182" s="8"/>
      <c r="L182" s="8"/>
      <c r="M182" s="8"/>
    </row>
    <row r="183" spans="1:14">
      <c r="A183" s="15">
        <f>+A182+1</f>
        <v>78</v>
      </c>
      <c r="C183" s="1" t="str">
        <f>"  Total  (sum lines "&amp;A181&amp;"-"&amp;A182&amp;") [W&amp;S equals 1 if there are no wages &amp; salaries]"</f>
        <v xml:space="preserve">  Total  (sum lines 76-77) [W&amp;S equals 1 if there are no wages &amp; salaries]</v>
      </c>
      <c r="D183" s="8"/>
      <c r="E183" s="112">
        <f>SUM(E181:E182)</f>
        <v>1</v>
      </c>
      <c r="F183" s="8"/>
      <c r="G183" s="8"/>
      <c r="H183" s="112">
        <f>SUM(H181:H182)</f>
        <v>1</v>
      </c>
      <c r="I183" s="44" t="s">
        <v>164</v>
      </c>
      <c r="J183" s="59">
        <v>1</v>
      </c>
      <c r="K183" s="68" t="s">
        <v>164</v>
      </c>
      <c r="L183" s="68" t="s">
        <v>70</v>
      </c>
      <c r="M183" s="8"/>
    </row>
    <row r="184" spans="1:14">
      <c r="A184" s="15"/>
      <c r="B184" s="2"/>
      <c r="C184" s="2"/>
      <c r="D184" s="8"/>
      <c r="E184" s="8"/>
      <c r="F184" s="8"/>
      <c r="G184" s="8"/>
      <c r="H184" s="8"/>
      <c r="I184" s="8"/>
      <c r="J184" s="8"/>
      <c r="K184" s="8"/>
      <c r="L184" s="116"/>
      <c r="M184" s="116"/>
    </row>
    <row r="185" spans="1:14">
      <c r="A185" s="15">
        <f>+A183+1</f>
        <v>79</v>
      </c>
      <c r="B185" s="2"/>
      <c r="C185" s="2" t="str">
        <f>"RETURN (R)      (Note "&amp;A236&amp;")"</f>
        <v>RETURN (R)      (Note J)</v>
      </c>
      <c r="D185" s="8"/>
      <c r="E185" s="2"/>
      <c r="F185" s="2"/>
      <c r="G185" s="2"/>
      <c r="H185" s="2"/>
      <c r="I185" s="2"/>
      <c r="J185" s="8"/>
      <c r="K185" s="8"/>
      <c r="L185" s="8"/>
      <c r="M185" s="8"/>
    </row>
    <row r="186" spans="1:14" ht="19.2" customHeight="1" thickBot="1">
      <c r="A186" s="15"/>
      <c r="D186" s="8"/>
      <c r="E186" s="25" t="s">
        <v>157</v>
      </c>
      <c r="F186" s="25" t="s">
        <v>165</v>
      </c>
      <c r="G186" s="8"/>
      <c r="H186" s="110" t="s">
        <v>166</v>
      </c>
      <c r="I186" s="8"/>
      <c r="J186" s="25" t="s">
        <v>167</v>
      </c>
      <c r="K186" s="8"/>
      <c r="L186" s="8"/>
      <c r="M186" s="8"/>
    </row>
    <row r="187" spans="1:14">
      <c r="A187" s="15">
        <f>+A185+1</f>
        <v>80</v>
      </c>
      <c r="C187" s="2" t="s">
        <v>168</v>
      </c>
      <c r="D187" s="8"/>
      <c r="E187" s="117">
        <f>+'2b - Cost Support'!Q15</f>
        <v>39155417.407692313</v>
      </c>
      <c r="F187" s="118">
        <f>E187/E190</f>
        <v>0.3959263089662507</v>
      </c>
      <c r="G187" s="119"/>
      <c r="H187" s="120">
        <f>'2b - Cost Support'!P36</f>
        <v>3.95E-2</v>
      </c>
      <c r="J187" s="121">
        <f>+H187*F187</f>
        <v>1.5639089204166904E-2</v>
      </c>
      <c r="K187" s="122" t="s">
        <v>169</v>
      </c>
      <c r="M187" s="8"/>
      <c r="N187" s="53"/>
    </row>
    <row r="188" spans="1:14">
      <c r="A188" s="15">
        <f>+A187+1</f>
        <v>81</v>
      </c>
      <c r="C188" s="2" t="s">
        <v>170</v>
      </c>
      <c r="D188" s="8"/>
      <c r="E188" s="30">
        <f>+'2b - Cost Support'!Q17</f>
        <v>0</v>
      </c>
      <c r="F188" s="112">
        <f>IF(E$190=0,0,E188/E$190)</f>
        <v>0</v>
      </c>
      <c r="G188" s="119"/>
      <c r="H188" s="112">
        <f>+'2b - Cost Support'!P41</f>
        <v>0</v>
      </c>
      <c r="J188" s="121">
        <f>+H188*F188</f>
        <v>0</v>
      </c>
      <c r="K188" s="8"/>
      <c r="M188" s="8"/>
    </row>
    <row r="189" spans="1:14" ht="16.2" thickBot="1">
      <c r="A189" s="15">
        <f>+A188+1</f>
        <v>82</v>
      </c>
      <c r="C189" s="2" t="s">
        <v>171</v>
      </c>
      <c r="D189" s="8"/>
      <c r="E189" s="123">
        <f>+'2b - Cost Support'!Q23</f>
        <v>59740302.631538466</v>
      </c>
      <c r="F189" s="118">
        <f>E189/E190</f>
        <v>0.6040736910337493</v>
      </c>
      <c r="G189" s="119"/>
      <c r="H189" s="124">
        <v>0.10199999999999999</v>
      </c>
      <c r="J189" s="125">
        <f>H189*F189</f>
        <v>6.1615516485442424E-2</v>
      </c>
      <c r="K189" s="8"/>
      <c r="M189" s="8"/>
      <c r="N189" s="53"/>
    </row>
    <row r="190" spans="1:14">
      <c r="A190" s="15">
        <f>+A189+1</f>
        <v>83</v>
      </c>
      <c r="C190" s="1" t="str">
        <f>"Total  (sum lines "&amp;A187&amp;"-"&amp;A189&amp;")"</f>
        <v>Total  (sum lines 80-82)</v>
      </c>
      <c r="E190" s="112">
        <f>SUM(E187:E189)</f>
        <v>98895720.039230779</v>
      </c>
      <c r="F190" s="8" t="s">
        <v>3</v>
      </c>
      <c r="G190" s="8"/>
      <c r="H190" s="8"/>
      <c r="I190" s="8"/>
      <c r="J190" s="121">
        <f>SUM(J187:J189)</f>
        <v>7.7254605689609332E-2</v>
      </c>
      <c r="K190" s="122" t="s">
        <v>172</v>
      </c>
      <c r="M190" s="8"/>
    </row>
    <row r="191" spans="1:14">
      <c r="F191" s="8"/>
      <c r="G191" s="8"/>
      <c r="H191" s="8"/>
      <c r="I191" s="8"/>
      <c r="M191" s="8"/>
    </row>
    <row r="192" spans="1:14">
      <c r="F192" s="8"/>
      <c r="G192" s="8"/>
      <c r="H192" s="8"/>
      <c r="I192" s="8"/>
      <c r="M192" s="8"/>
    </row>
    <row r="193" spans="1:13">
      <c r="C193" s="20" t="s">
        <v>173</v>
      </c>
      <c r="F193" s="8"/>
      <c r="G193" s="8"/>
      <c r="H193" s="68" t="s">
        <v>174</v>
      </c>
      <c r="I193" s="68"/>
      <c r="J193" s="44"/>
      <c r="M193" s="8"/>
    </row>
    <row r="194" spans="1:13">
      <c r="A194" s="44"/>
      <c r="F194" s="8"/>
      <c r="G194" s="8"/>
      <c r="H194" s="26"/>
      <c r="J194" s="68"/>
      <c r="M194" s="8"/>
    </row>
    <row r="195" spans="1:13">
      <c r="A195" s="44">
        <f>+A190+1</f>
        <v>84</v>
      </c>
      <c r="C195" s="1" t="s">
        <v>175</v>
      </c>
      <c r="D195" s="1" t="str">
        <f>"(Line "&amp;A76&amp;", column 5)"</f>
        <v>(Line 13, column 5)</v>
      </c>
      <c r="F195" s="8"/>
      <c r="G195" s="8"/>
      <c r="H195" s="85">
        <f>+J76</f>
        <v>67381879.400769219</v>
      </c>
      <c r="I195" s="8"/>
      <c r="M195" s="8"/>
    </row>
    <row r="196" spans="1:13">
      <c r="A196" s="44">
        <f>+A195+1</f>
        <v>85</v>
      </c>
      <c r="C196" s="1" t="s">
        <v>32</v>
      </c>
      <c r="D196" s="1" t="str">
        <f>"(Line "&amp;A83&amp;", column 5)"</f>
        <v>(Line 19, column 5)</v>
      </c>
      <c r="F196" s="8"/>
      <c r="G196" s="8"/>
      <c r="H196" s="85">
        <f>+J83</f>
        <v>0</v>
      </c>
      <c r="J196" s="50"/>
      <c r="M196" s="8"/>
    </row>
    <row r="197" spans="1:13">
      <c r="A197" s="44">
        <f>+A196+1</f>
        <v>86</v>
      </c>
      <c r="C197" s="13" t="s">
        <v>176</v>
      </c>
      <c r="D197" s="1" t="str">
        <f>"(Line "&amp;A86&amp;", column 5)"</f>
        <v>(Line 22, column 5)</v>
      </c>
      <c r="F197" s="8"/>
      <c r="G197" s="8"/>
      <c r="H197" s="85">
        <f>+J86</f>
        <v>0</v>
      </c>
      <c r="I197" s="8"/>
      <c r="M197" s="8"/>
    </row>
    <row r="198" spans="1:13">
      <c r="A198" s="44">
        <f>+A197+1</f>
        <v>87</v>
      </c>
      <c r="C198" s="13" t="s">
        <v>177</v>
      </c>
      <c r="D198" s="1" t="str">
        <f>"(Line "&amp;A85&amp;", column 5)"</f>
        <v>(Line 21, column 5)</v>
      </c>
      <c r="F198" s="8"/>
      <c r="G198" s="8"/>
      <c r="H198" s="85">
        <f>+J85</f>
        <v>13072272.393548371</v>
      </c>
      <c r="I198" s="8"/>
      <c r="M198" s="8"/>
    </row>
    <row r="199" spans="1:13" ht="27.75" customHeight="1">
      <c r="A199" s="44">
        <f>+A198+1</f>
        <v>88</v>
      </c>
      <c r="C199" s="126" t="str">
        <f>+C193</f>
        <v>Sum Of Net Transmission Plant, CWIP in Rate Base, Regulatory Asset and Unamortized Abandoned Plant</v>
      </c>
      <c r="F199" s="8"/>
      <c r="G199" s="8"/>
      <c r="H199" s="50">
        <f>SUM(H195:H198)</f>
        <v>80454151.794317588</v>
      </c>
      <c r="I199" s="8"/>
      <c r="J199" s="50"/>
      <c r="K199" s="858"/>
      <c r="L199" s="858"/>
      <c r="M199" s="858"/>
    </row>
    <row r="200" spans="1:13">
      <c r="A200" s="44"/>
      <c r="F200" s="8"/>
      <c r="G200" s="8"/>
      <c r="H200" s="8"/>
      <c r="I200" s="8"/>
      <c r="M200" s="8"/>
    </row>
    <row r="201" spans="1:13">
      <c r="A201" s="44">
        <v>89</v>
      </c>
      <c r="C201" s="1" t="s">
        <v>178</v>
      </c>
      <c r="F201" s="8"/>
      <c r="G201" s="8"/>
      <c r="H201" s="8"/>
      <c r="I201" s="8"/>
      <c r="J201" s="8"/>
      <c r="M201" s="8"/>
    </row>
    <row r="202" spans="1:13">
      <c r="C202" s="44"/>
      <c r="D202" s="44"/>
      <c r="E202" s="44"/>
      <c r="F202" s="8"/>
      <c r="G202" s="8"/>
      <c r="H202" s="127"/>
      <c r="I202" s="8"/>
      <c r="J202" s="128"/>
      <c r="M202" s="129"/>
    </row>
    <row r="203" spans="1:13">
      <c r="E203" s="130"/>
      <c r="F203" s="8"/>
      <c r="G203" s="8"/>
      <c r="H203" s="8"/>
      <c r="I203" s="8"/>
      <c r="J203" s="130"/>
      <c r="M203" s="8"/>
    </row>
    <row r="204" spans="1:13">
      <c r="C204" s="2"/>
      <c r="D204" s="2"/>
      <c r="E204" s="3"/>
      <c r="F204" s="2"/>
      <c r="G204" s="2"/>
      <c r="H204" s="2"/>
      <c r="I204" s="2"/>
      <c r="J204" s="6"/>
      <c r="K204" s="6"/>
      <c r="L204" s="6"/>
      <c r="M204" s="4" t="s">
        <v>0</v>
      </c>
    </row>
    <row r="205" spans="1:13">
      <c r="C205" s="2"/>
      <c r="D205" s="2"/>
      <c r="E205" s="3"/>
      <c r="F205" s="2"/>
      <c r="G205" s="2"/>
      <c r="H205" s="2"/>
      <c r="I205" s="2"/>
      <c r="J205" s="2"/>
      <c r="L205" s="6"/>
      <c r="M205" s="6" t="s">
        <v>179</v>
      </c>
    </row>
    <row r="206" spans="1:13">
      <c r="C206" s="2"/>
      <c r="D206" s="12" t="s">
        <v>180</v>
      </c>
      <c r="F206" s="2"/>
      <c r="G206" s="2"/>
      <c r="H206" s="2"/>
      <c r="I206" s="2"/>
      <c r="J206" s="2"/>
      <c r="L206" s="6"/>
    </row>
    <row r="207" spans="1:13">
      <c r="C207" s="2" t="s">
        <v>37</v>
      </c>
      <c r="D207" s="7"/>
      <c r="E207" s="7" t="s">
        <v>2</v>
      </c>
      <c r="F207" s="2"/>
      <c r="G207" s="2"/>
      <c r="H207" s="2"/>
      <c r="I207" s="2"/>
    </row>
    <row r="208" spans="1:13">
      <c r="C208" s="2"/>
      <c r="D208" s="8" t="s">
        <v>3</v>
      </c>
      <c r="E208" s="8" t="s">
        <v>4</v>
      </c>
      <c r="F208" s="8"/>
      <c r="G208" s="8"/>
      <c r="H208" s="8"/>
      <c r="I208" s="2"/>
      <c r="J208" s="2"/>
    </row>
    <row r="209" spans="1:13">
      <c r="A209" s="15"/>
      <c r="K209" s="11"/>
      <c r="L209" s="11"/>
      <c r="M209" s="9" t="str">
        <f>+M165</f>
        <v>For the 12 months ended 12/31/2022</v>
      </c>
    </row>
    <row r="210" spans="1:13">
      <c r="A210" s="15"/>
      <c r="E210" s="131"/>
      <c r="G210" s="104"/>
      <c r="K210" s="8"/>
      <c r="M210" s="43"/>
    </row>
    <row r="211" spans="1:13">
      <c r="A211" s="15"/>
      <c r="D211" s="859" t="s">
        <v>181</v>
      </c>
      <c r="E211" s="861"/>
      <c r="F211" s="861"/>
      <c r="G211" s="861"/>
      <c r="K211" s="8"/>
      <c r="M211" s="43"/>
    </row>
    <row r="212" spans="1:13">
      <c r="A212" s="15"/>
      <c r="D212" s="15"/>
      <c r="K212" s="8"/>
      <c r="L212" s="8"/>
    </row>
    <row r="213" spans="1:13">
      <c r="A213" s="15"/>
      <c r="B213" s="2"/>
      <c r="C213" s="132"/>
      <c r="D213" s="15"/>
      <c r="E213" s="8"/>
      <c r="F213" s="8"/>
      <c r="G213" s="8"/>
      <c r="H213" s="8"/>
      <c r="I213" s="2"/>
      <c r="J213" s="7"/>
      <c r="K213" s="133"/>
      <c r="L213" s="134"/>
      <c r="M213" s="15"/>
    </row>
    <row r="214" spans="1:13">
      <c r="A214" s="15"/>
      <c r="B214" s="2"/>
      <c r="C214" s="132"/>
      <c r="F214" s="8"/>
      <c r="G214" s="8"/>
      <c r="H214" s="8"/>
      <c r="I214" s="2"/>
      <c r="J214" s="135"/>
      <c r="K214" s="133"/>
      <c r="L214" s="134"/>
      <c r="M214" s="15"/>
    </row>
    <row r="215" spans="1:13">
      <c r="A215" s="15"/>
      <c r="B215" s="2"/>
      <c r="C215" s="132"/>
      <c r="D215" s="15"/>
      <c r="E215" s="8"/>
      <c r="F215" s="8"/>
      <c r="G215" s="8"/>
      <c r="H215" s="8"/>
      <c r="I215" s="2"/>
      <c r="J215" s="135"/>
      <c r="K215" s="133"/>
      <c r="L215" s="134"/>
      <c r="M215" s="15"/>
    </row>
    <row r="216" spans="1:13">
      <c r="A216" s="15"/>
      <c r="B216" s="2"/>
      <c r="C216" s="2" t="s">
        <v>182</v>
      </c>
      <c r="D216" s="15"/>
      <c r="E216" s="8"/>
      <c r="F216" s="8"/>
      <c r="G216" s="8"/>
      <c r="H216" s="8"/>
      <c r="I216" s="2"/>
      <c r="J216" s="8"/>
      <c r="K216" s="2"/>
      <c r="L216" s="8"/>
      <c r="M216" s="15"/>
    </row>
    <row r="217" spans="1:13">
      <c r="A217" s="15"/>
      <c r="B217" s="2"/>
      <c r="C217" s="2" t="s">
        <v>183</v>
      </c>
      <c r="D217" s="15"/>
      <c r="E217" s="8"/>
      <c r="F217" s="8"/>
      <c r="G217" s="8"/>
      <c r="H217" s="8"/>
      <c r="I217" s="2"/>
      <c r="J217" s="8"/>
      <c r="K217" s="2"/>
      <c r="L217" s="8"/>
      <c r="M217" s="15"/>
    </row>
    <row r="218" spans="1:13">
      <c r="A218" s="15" t="s">
        <v>184</v>
      </c>
      <c r="B218" s="2"/>
      <c r="C218" s="2"/>
      <c r="D218" s="2"/>
      <c r="E218" s="8"/>
      <c r="F218" s="8"/>
      <c r="G218" s="8"/>
      <c r="H218" s="8"/>
      <c r="I218" s="2"/>
      <c r="J218" s="8"/>
      <c r="K218" s="2"/>
      <c r="L218" s="8"/>
      <c r="M218" s="15"/>
    </row>
    <row r="219" spans="1:13" ht="16.2" thickBot="1">
      <c r="A219" s="25" t="s">
        <v>185</v>
      </c>
      <c r="B219" s="2"/>
      <c r="C219" s="2"/>
      <c r="D219" s="2"/>
      <c r="E219" s="8"/>
      <c r="F219" s="8"/>
      <c r="G219" s="8"/>
      <c r="H219" s="8"/>
      <c r="I219" s="2"/>
      <c r="J219" s="8"/>
      <c r="K219" s="2"/>
      <c r="L219" s="8"/>
      <c r="M219" s="15"/>
    </row>
    <row r="220" spans="1:13">
      <c r="A220" s="15" t="s">
        <v>186</v>
      </c>
      <c r="B220" s="2"/>
      <c r="C220" s="862" t="s">
        <v>187</v>
      </c>
      <c r="D220" s="862"/>
      <c r="E220" s="862"/>
      <c r="F220" s="862"/>
      <c r="G220" s="862"/>
      <c r="H220" s="862"/>
      <c r="I220" s="862"/>
      <c r="J220" s="862"/>
      <c r="K220" s="862"/>
      <c r="L220" s="862"/>
      <c r="M220" s="15"/>
    </row>
    <row r="221" spans="1:13">
      <c r="A221" s="15"/>
      <c r="B221" s="2"/>
      <c r="C221" s="2" t="str">
        <f>"    throughs and excluded if the utility chose to utilize amortization of tax credits against taxable income as discussed in Note "&amp;A228&amp;".  Account 281 is not allocated."</f>
        <v xml:space="preserve">    throughs and excluded if the utility chose to utilize amortization of tax credits against taxable income as discussed in Note F.  Account 281 is not allocated.</v>
      </c>
      <c r="D221" s="2"/>
      <c r="E221" s="2"/>
      <c r="F221" s="2"/>
      <c r="G221" s="2"/>
      <c r="H221" s="2"/>
      <c r="I221" s="2"/>
      <c r="J221" s="2"/>
      <c r="K221" s="2"/>
      <c r="L221" s="2"/>
      <c r="M221" s="15"/>
    </row>
    <row r="222" spans="1:13">
      <c r="A222" s="15" t="s">
        <v>188</v>
      </c>
      <c r="B222" s="2"/>
      <c r="C222" s="2" t="s">
        <v>189</v>
      </c>
      <c r="D222" s="2"/>
      <c r="E222" s="2"/>
      <c r="F222" s="2"/>
      <c r="G222" s="2"/>
      <c r="H222" s="2"/>
      <c r="I222" s="2"/>
      <c r="J222" s="2"/>
      <c r="K222" s="2"/>
      <c r="L222" s="2"/>
      <c r="M222" s="15"/>
    </row>
    <row r="223" spans="1:13" ht="32.25" customHeight="1">
      <c r="A223" s="15" t="s">
        <v>190</v>
      </c>
      <c r="B223" s="2"/>
      <c r="C223" s="855" t="s">
        <v>191</v>
      </c>
      <c r="D223" s="855"/>
      <c r="E223" s="855"/>
      <c r="F223" s="855"/>
      <c r="G223" s="855"/>
      <c r="H223" s="855"/>
      <c r="I223" s="855"/>
      <c r="J223" s="855"/>
      <c r="K223" s="855"/>
      <c r="L223" s="855"/>
      <c r="M223" s="15"/>
    </row>
    <row r="224" spans="1:13">
      <c r="A224" s="15"/>
      <c r="B224" s="2"/>
      <c r="C224" s="2" t="s">
        <v>192</v>
      </c>
      <c r="D224" s="2"/>
      <c r="E224" s="2"/>
      <c r="F224" s="2"/>
      <c r="G224" s="2"/>
      <c r="H224" s="2"/>
      <c r="I224" s="2"/>
      <c r="J224" s="2"/>
      <c r="K224" s="2"/>
      <c r="L224" s="2"/>
      <c r="M224" s="15"/>
    </row>
    <row r="225" spans="1:256" ht="19.5" customHeight="1">
      <c r="A225" s="15" t="s">
        <v>193</v>
      </c>
      <c r="B225" s="2"/>
      <c r="C225" s="863" t="s">
        <v>194</v>
      </c>
      <c r="D225" s="863"/>
      <c r="E225" s="863"/>
      <c r="F225" s="863"/>
      <c r="G225" s="863"/>
      <c r="H225" s="863"/>
      <c r="I225" s="863"/>
      <c r="J225" s="863"/>
      <c r="K225" s="863"/>
      <c r="L225" s="863"/>
      <c r="M225" s="15"/>
      <c r="N225" s="136"/>
    </row>
    <row r="226" spans="1:256" ht="18">
      <c r="A226" s="15"/>
      <c r="B226" s="2"/>
      <c r="C226" s="20" t="s">
        <v>195</v>
      </c>
      <c r="D226" s="2"/>
      <c r="E226" s="2"/>
      <c r="F226" s="2"/>
      <c r="G226" s="2"/>
      <c r="H226" s="2"/>
      <c r="I226" s="2"/>
      <c r="J226" s="2"/>
      <c r="K226" s="2"/>
      <c r="L226" s="2"/>
      <c r="M226" s="15"/>
      <c r="N226" s="136"/>
    </row>
    <row r="227" spans="1:256" ht="33.75" customHeight="1">
      <c r="A227" s="15" t="s">
        <v>196</v>
      </c>
      <c r="B227" s="2"/>
      <c r="C227" s="855" t="s">
        <v>197</v>
      </c>
      <c r="D227" s="855"/>
      <c r="E227" s="855"/>
      <c r="F227" s="855"/>
      <c r="G227" s="855"/>
      <c r="H227" s="855"/>
      <c r="I227" s="855"/>
      <c r="J227" s="855"/>
      <c r="K227" s="855"/>
      <c r="L227" s="855"/>
      <c r="M227" s="15"/>
    </row>
    <row r="228" spans="1:256" ht="50.25" customHeight="1">
      <c r="A228" s="15" t="s">
        <v>198</v>
      </c>
      <c r="B228" s="2"/>
      <c r="C228" s="855" t="s">
        <v>199</v>
      </c>
      <c r="D228" s="855"/>
      <c r="E228" s="855"/>
      <c r="F228" s="855"/>
      <c r="G228" s="855"/>
      <c r="H228" s="855"/>
      <c r="I228" s="855"/>
      <c r="J228" s="855"/>
      <c r="K228" s="855"/>
      <c r="L228" s="855"/>
      <c r="M228" s="15"/>
    </row>
    <row r="229" spans="1:256">
      <c r="A229" s="15" t="s">
        <v>3</v>
      </c>
      <c r="B229" s="2"/>
      <c r="C229" s="2" t="s">
        <v>200</v>
      </c>
      <c r="D229" s="2" t="s">
        <v>201</v>
      </c>
      <c r="E229" s="137">
        <v>0.21</v>
      </c>
      <c r="F229" s="2"/>
      <c r="G229" s="2"/>
      <c r="H229" s="2"/>
      <c r="I229" s="2"/>
      <c r="J229" s="2"/>
      <c r="K229" s="2"/>
      <c r="L229" s="2"/>
      <c r="M229" s="15"/>
    </row>
    <row r="230" spans="1:256">
      <c r="A230" s="15"/>
      <c r="B230" s="2"/>
      <c r="C230" s="2"/>
      <c r="D230" s="2" t="s">
        <v>202</v>
      </c>
      <c r="E230" s="138">
        <f>+'2a - Cost Support'!L100</f>
        <v>8.8400000000000006E-2</v>
      </c>
      <c r="F230" s="2" t="s">
        <v>203</v>
      </c>
      <c r="G230" s="2"/>
      <c r="H230" s="2"/>
      <c r="I230" s="2"/>
      <c r="J230" s="2"/>
      <c r="K230" s="2"/>
      <c r="L230" s="139"/>
      <c r="M230" s="15"/>
      <c r="N230" s="140"/>
    </row>
    <row r="231" spans="1:256">
      <c r="A231" s="15"/>
      <c r="B231" s="2"/>
      <c r="C231" s="2"/>
      <c r="D231" s="2" t="s">
        <v>204</v>
      </c>
      <c r="E231" s="137">
        <v>0</v>
      </c>
      <c r="F231" s="2" t="s">
        <v>205</v>
      </c>
      <c r="G231" s="2"/>
      <c r="H231" s="2"/>
      <c r="I231" s="2"/>
      <c r="J231" s="2"/>
      <c r="K231" s="2"/>
      <c r="L231" s="2"/>
      <c r="M231" s="15"/>
    </row>
    <row r="232" spans="1:256" ht="33.75" customHeight="1">
      <c r="A232" s="15"/>
      <c r="B232" s="2"/>
      <c r="C232" s="856" t="s">
        <v>206</v>
      </c>
      <c r="D232" s="856"/>
      <c r="E232" s="856"/>
      <c r="F232" s="856"/>
      <c r="G232" s="856"/>
      <c r="H232" s="856"/>
      <c r="I232" s="856"/>
      <c r="J232" s="856"/>
      <c r="K232" s="856"/>
      <c r="L232" s="856"/>
      <c r="M232" s="15"/>
    </row>
    <row r="233" spans="1:256" ht="19.5" customHeight="1">
      <c r="A233" s="141" t="s">
        <v>207</v>
      </c>
      <c r="B233" s="2"/>
      <c r="C233" s="857" t="s">
        <v>208</v>
      </c>
      <c r="D233" s="857"/>
      <c r="E233" s="857"/>
      <c r="F233" s="857"/>
      <c r="G233" s="857"/>
      <c r="H233" s="857"/>
      <c r="I233" s="857"/>
      <c r="J233" s="857"/>
      <c r="K233" s="857"/>
      <c r="L233" s="857"/>
      <c r="M233" s="15"/>
    </row>
    <row r="234" spans="1:256" ht="29.25" customHeight="1">
      <c r="A234" s="15" t="s">
        <v>209</v>
      </c>
      <c r="B234" s="2"/>
      <c r="C234" s="855" t="s">
        <v>210</v>
      </c>
      <c r="D234" s="855"/>
      <c r="E234" s="855"/>
      <c r="F234" s="855"/>
      <c r="G234" s="855"/>
      <c r="H234" s="855"/>
      <c r="I234" s="855"/>
      <c r="J234" s="855"/>
      <c r="K234" s="855"/>
      <c r="L234" s="855"/>
      <c r="M234" s="15"/>
    </row>
    <row r="235" spans="1:256">
      <c r="A235" s="15" t="s">
        <v>211</v>
      </c>
      <c r="B235" s="2"/>
      <c r="C235" s="2" t="s">
        <v>212</v>
      </c>
      <c r="D235" s="2"/>
      <c r="E235" s="2"/>
      <c r="F235" s="2"/>
      <c r="G235" s="2"/>
      <c r="H235" s="2"/>
      <c r="I235" s="2"/>
      <c r="J235" s="2"/>
      <c r="K235" s="2"/>
      <c r="L235" s="2"/>
      <c r="M235" s="15"/>
    </row>
    <row r="236" spans="1:256">
      <c r="A236" s="15" t="s">
        <v>213</v>
      </c>
      <c r="B236" s="2"/>
      <c r="C236" s="142" t="s">
        <v>214</v>
      </c>
      <c r="D236" s="2"/>
      <c r="E236" s="2"/>
      <c r="F236" s="2"/>
      <c r="G236" s="2"/>
      <c r="H236" s="2"/>
      <c r="I236" s="2"/>
      <c r="J236" s="2"/>
      <c r="K236" s="2"/>
      <c r="L236" s="2"/>
      <c r="M236" s="15"/>
    </row>
    <row r="237" spans="1:256">
      <c r="A237" s="15"/>
      <c r="B237" s="2"/>
      <c r="C237" s="142" t="s">
        <v>215</v>
      </c>
      <c r="D237" s="2"/>
      <c r="E237" s="2"/>
      <c r="F237" s="2"/>
      <c r="G237" s="2"/>
      <c r="H237" s="2"/>
      <c r="I237" s="2"/>
      <c r="J237" s="2"/>
      <c r="K237" s="2"/>
      <c r="L237" s="2"/>
      <c r="M237" s="15"/>
    </row>
    <row r="238" spans="1:256" ht="13.5" customHeight="1">
      <c r="A238" s="143"/>
      <c r="B238" s="143"/>
      <c r="C238" s="142" t="s">
        <v>216</v>
      </c>
      <c r="D238" s="142"/>
      <c r="E238" s="144"/>
      <c r="F238" s="144"/>
      <c r="G238" s="144"/>
      <c r="H238" s="144"/>
      <c r="I238" s="144"/>
      <c r="J238" s="144"/>
      <c r="K238" s="144"/>
      <c r="L238" s="144"/>
      <c r="M238" s="143"/>
      <c r="N238" s="145"/>
      <c r="O238" s="145"/>
      <c r="P238" s="145"/>
      <c r="Q238" s="145"/>
      <c r="R238" s="145"/>
      <c r="S238" s="145"/>
      <c r="T238" s="145"/>
      <c r="U238" s="145"/>
      <c r="V238" s="145"/>
      <c r="W238" s="145"/>
      <c r="X238" s="145"/>
      <c r="Y238" s="145"/>
      <c r="Z238" s="145"/>
      <c r="AA238" s="145"/>
      <c r="AB238" s="145"/>
      <c r="AC238" s="145"/>
      <c r="AD238" s="145"/>
      <c r="AE238" s="145"/>
      <c r="AF238" s="145"/>
      <c r="AG238" s="145"/>
      <c r="AH238" s="145"/>
      <c r="AI238" s="145"/>
      <c r="AJ238" s="145"/>
      <c r="AK238" s="145"/>
      <c r="AL238" s="145"/>
      <c r="AM238" s="145"/>
      <c r="AN238" s="145"/>
      <c r="AO238" s="145"/>
      <c r="AP238" s="145"/>
      <c r="AQ238" s="145"/>
      <c r="AR238" s="145"/>
      <c r="AS238" s="145"/>
      <c r="AT238" s="145"/>
      <c r="AU238" s="145"/>
      <c r="AV238" s="145"/>
      <c r="AW238" s="145"/>
      <c r="AX238" s="145"/>
      <c r="AY238" s="145"/>
      <c r="AZ238" s="145"/>
      <c r="BA238" s="145"/>
      <c r="BB238" s="145"/>
      <c r="BC238" s="145"/>
      <c r="BD238" s="145"/>
      <c r="BE238" s="145"/>
      <c r="BF238" s="145"/>
      <c r="BG238" s="145"/>
      <c r="BH238" s="145"/>
      <c r="BI238" s="145"/>
      <c r="BJ238" s="145"/>
      <c r="BK238" s="145"/>
      <c r="BL238" s="145"/>
      <c r="BM238" s="145"/>
      <c r="BN238" s="145"/>
      <c r="BO238" s="145"/>
      <c r="BP238" s="145"/>
      <c r="BQ238" s="145"/>
      <c r="BR238" s="145"/>
      <c r="BS238" s="145"/>
      <c r="BT238" s="145"/>
      <c r="BU238" s="145"/>
      <c r="BV238" s="145"/>
      <c r="BW238" s="145"/>
      <c r="BX238" s="145"/>
      <c r="BY238" s="145"/>
      <c r="BZ238" s="145"/>
      <c r="CA238" s="145"/>
      <c r="CB238" s="145"/>
      <c r="CC238" s="145"/>
      <c r="CD238" s="145"/>
      <c r="CE238" s="145"/>
      <c r="CF238" s="145"/>
      <c r="CG238" s="145"/>
      <c r="CH238" s="145"/>
      <c r="CI238" s="145"/>
      <c r="CJ238" s="145"/>
      <c r="CK238" s="145"/>
      <c r="CL238" s="145"/>
      <c r="CM238" s="145"/>
      <c r="CN238" s="145"/>
      <c r="CO238" s="145"/>
      <c r="CP238" s="145"/>
      <c r="CQ238" s="145"/>
      <c r="CR238" s="145"/>
      <c r="CS238" s="145"/>
      <c r="CT238" s="145"/>
      <c r="CU238" s="145"/>
      <c r="CV238" s="145"/>
      <c r="CW238" s="145"/>
      <c r="CX238" s="145"/>
      <c r="CY238" s="145"/>
      <c r="CZ238" s="145"/>
      <c r="DA238" s="145"/>
      <c r="DB238" s="145"/>
      <c r="DC238" s="145"/>
      <c r="DD238" s="145"/>
      <c r="DE238" s="145"/>
      <c r="DF238" s="145"/>
      <c r="DG238" s="145"/>
      <c r="DH238" s="145"/>
      <c r="DI238" s="145"/>
      <c r="DJ238" s="145"/>
      <c r="DK238" s="145"/>
      <c r="DL238" s="145"/>
      <c r="DM238" s="145"/>
      <c r="DN238" s="145"/>
      <c r="DO238" s="145"/>
      <c r="DP238" s="145"/>
      <c r="DQ238" s="145"/>
      <c r="DR238" s="145"/>
      <c r="DS238" s="145"/>
      <c r="DT238" s="145"/>
      <c r="DU238" s="145"/>
      <c r="DV238" s="145"/>
      <c r="DW238" s="145"/>
      <c r="DX238" s="145"/>
      <c r="DY238" s="145"/>
      <c r="DZ238" s="145"/>
      <c r="EA238" s="145"/>
      <c r="EB238" s="145"/>
      <c r="EC238" s="145"/>
      <c r="ED238" s="145"/>
      <c r="EE238" s="145"/>
      <c r="EF238" s="145"/>
      <c r="EG238" s="145"/>
      <c r="EH238" s="145"/>
      <c r="EI238" s="145"/>
      <c r="EJ238" s="145"/>
      <c r="EK238" s="145"/>
      <c r="EL238" s="145"/>
      <c r="EM238" s="145"/>
      <c r="EN238" s="145"/>
      <c r="EO238" s="145"/>
      <c r="EP238" s="145"/>
      <c r="EQ238" s="145"/>
      <c r="ER238" s="145"/>
      <c r="ES238" s="145"/>
      <c r="ET238" s="145"/>
      <c r="EU238" s="145"/>
      <c r="EV238" s="145"/>
      <c r="EW238" s="145"/>
      <c r="EX238" s="145"/>
      <c r="EY238" s="145"/>
      <c r="EZ238" s="145"/>
      <c r="FA238" s="145"/>
      <c r="FB238" s="145"/>
      <c r="FC238" s="145"/>
      <c r="FD238" s="145"/>
      <c r="FE238" s="145"/>
      <c r="FF238" s="145"/>
      <c r="FG238" s="145"/>
      <c r="FH238" s="145"/>
      <c r="FI238" s="145"/>
      <c r="FJ238" s="145"/>
      <c r="FK238" s="145"/>
      <c r="FL238" s="145"/>
      <c r="FM238" s="145"/>
      <c r="FN238" s="145"/>
      <c r="FO238" s="145"/>
      <c r="FP238" s="145"/>
      <c r="FQ238" s="145"/>
      <c r="FR238" s="145"/>
      <c r="FS238" s="145"/>
      <c r="FT238" s="145"/>
      <c r="FU238" s="145"/>
      <c r="FV238" s="145"/>
      <c r="FW238" s="145"/>
      <c r="FX238" s="145"/>
      <c r="FY238" s="145"/>
      <c r="FZ238" s="145"/>
      <c r="GA238" s="145"/>
      <c r="GB238" s="145"/>
      <c r="GC238" s="145"/>
      <c r="GD238" s="145"/>
      <c r="GE238" s="145"/>
      <c r="GF238" s="145"/>
      <c r="GG238" s="145"/>
      <c r="GH238" s="145"/>
      <c r="GI238" s="145"/>
      <c r="GJ238" s="145"/>
      <c r="GK238" s="145"/>
      <c r="GL238" s="145"/>
      <c r="GM238" s="145"/>
      <c r="GN238" s="145"/>
      <c r="GO238" s="145"/>
      <c r="GP238" s="145"/>
      <c r="GQ238" s="145"/>
      <c r="GR238" s="145"/>
      <c r="GS238" s="145"/>
      <c r="GT238" s="145"/>
      <c r="GU238" s="145"/>
      <c r="GV238" s="145"/>
      <c r="GW238" s="145"/>
      <c r="GX238" s="145"/>
      <c r="GY238" s="145"/>
      <c r="GZ238" s="145"/>
      <c r="HA238" s="145"/>
      <c r="HB238" s="145"/>
      <c r="HC238" s="145"/>
      <c r="HD238" s="145"/>
      <c r="HE238" s="145"/>
      <c r="HF238" s="145"/>
      <c r="HG238" s="145"/>
      <c r="HH238" s="145"/>
      <c r="HI238" s="145"/>
      <c r="HJ238" s="145"/>
      <c r="HK238" s="145"/>
      <c r="HL238" s="145"/>
      <c r="HM238" s="145"/>
      <c r="HN238" s="145"/>
      <c r="HO238" s="145"/>
      <c r="HP238" s="145"/>
      <c r="HQ238" s="145"/>
      <c r="HR238" s="145"/>
      <c r="HS238" s="145"/>
      <c r="HT238" s="145"/>
      <c r="HU238" s="145"/>
      <c r="HV238" s="145"/>
      <c r="HW238" s="145"/>
      <c r="HX238" s="145"/>
      <c r="HY238" s="145"/>
      <c r="HZ238" s="145"/>
      <c r="IA238" s="145"/>
      <c r="IB238" s="145"/>
      <c r="IC238" s="145"/>
      <c r="ID238" s="145"/>
      <c r="IE238" s="145"/>
      <c r="IF238" s="145"/>
      <c r="IG238" s="145"/>
      <c r="IH238" s="145"/>
      <c r="II238" s="145"/>
      <c r="IJ238" s="145"/>
      <c r="IK238" s="145"/>
      <c r="IL238" s="145"/>
      <c r="IM238" s="145"/>
      <c r="IN238" s="145"/>
      <c r="IO238" s="145"/>
      <c r="IP238" s="145"/>
      <c r="IQ238" s="145"/>
      <c r="IR238" s="145"/>
      <c r="IS238" s="145"/>
      <c r="IT238" s="145"/>
      <c r="IU238" s="145"/>
      <c r="IV238" s="145"/>
    </row>
    <row r="239" spans="1:256" ht="33" customHeight="1">
      <c r="A239" s="141" t="s">
        <v>217</v>
      </c>
      <c r="B239" s="143"/>
      <c r="C239" s="858" t="s">
        <v>218</v>
      </c>
      <c r="D239" s="858"/>
      <c r="E239" s="858"/>
      <c r="F239" s="858"/>
      <c r="G239" s="858"/>
      <c r="H239" s="858"/>
      <c r="I239" s="858"/>
      <c r="J239" s="858"/>
      <c r="K239" s="858"/>
      <c r="L239" s="858"/>
      <c r="M239" s="143"/>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c r="AI239" s="146"/>
      <c r="AJ239" s="146"/>
      <c r="AK239" s="146"/>
      <c r="AL239" s="146"/>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c r="BG239" s="146"/>
      <c r="BH239" s="146"/>
      <c r="BI239" s="146"/>
      <c r="BJ239" s="146"/>
      <c r="BK239" s="146"/>
      <c r="BL239" s="146"/>
      <c r="BM239" s="146"/>
      <c r="BN239" s="146"/>
      <c r="BO239" s="146"/>
      <c r="BP239" s="146"/>
      <c r="BQ239" s="146"/>
      <c r="BR239" s="146"/>
      <c r="BS239" s="146"/>
      <c r="BT239" s="146"/>
      <c r="BU239" s="146"/>
      <c r="BV239" s="146"/>
      <c r="BW239" s="146"/>
      <c r="BX239" s="146"/>
      <c r="BY239" s="146"/>
      <c r="BZ239" s="146"/>
      <c r="CA239" s="146"/>
      <c r="CB239" s="146"/>
      <c r="CC239" s="146"/>
      <c r="CD239" s="146"/>
      <c r="CE239" s="146"/>
      <c r="CF239" s="146"/>
      <c r="CG239" s="146"/>
      <c r="CH239" s="146"/>
      <c r="CI239" s="146"/>
      <c r="CJ239" s="146"/>
      <c r="CK239" s="146"/>
      <c r="CL239" s="146"/>
      <c r="CM239" s="146"/>
      <c r="CN239" s="146"/>
      <c r="CO239" s="146"/>
      <c r="CP239" s="146"/>
      <c r="CQ239" s="146"/>
      <c r="CR239" s="146"/>
      <c r="CS239" s="146"/>
      <c r="CT239" s="146"/>
      <c r="CU239" s="146"/>
      <c r="CV239" s="146"/>
      <c r="CW239" s="146"/>
      <c r="CX239" s="146"/>
      <c r="CY239" s="146"/>
      <c r="CZ239" s="146"/>
      <c r="DA239" s="146"/>
      <c r="DB239" s="146"/>
      <c r="DC239" s="146"/>
      <c r="DD239" s="146"/>
      <c r="DE239" s="146"/>
      <c r="DF239" s="146"/>
      <c r="DG239" s="146"/>
      <c r="DH239" s="146"/>
      <c r="DI239" s="146"/>
      <c r="DJ239" s="146"/>
      <c r="DK239" s="146"/>
      <c r="DL239" s="146"/>
      <c r="DM239" s="146"/>
      <c r="DN239" s="146"/>
      <c r="DO239" s="146"/>
      <c r="DP239" s="146"/>
      <c r="DQ239" s="146"/>
      <c r="DR239" s="146"/>
      <c r="DS239" s="146"/>
      <c r="DT239" s="146"/>
      <c r="DU239" s="146"/>
      <c r="DV239" s="146"/>
      <c r="DW239" s="146"/>
      <c r="DX239" s="146"/>
      <c r="DY239" s="146"/>
      <c r="DZ239" s="146"/>
      <c r="EA239" s="146"/>
      <c r="EB239" s="146"/>
      <c r="EC239" s="146"/>
      <c r="ED239" s="146"/>
      <c r="EE239" s="146"/>
      <c r="EF239" s="146"/>
      <c r="EG239" s="146"/>
      <c r="EH239" s="146"/>
      <c r="EI239" s="146"/>
      <c r="EJ239" s="146"/>
      <c r="EK239" s="146"/>
      <c r="EL239" s="146"/>
      <c r="EM239" s="146"/>
      <c r="EN239" s="146"/>
      <c r="EO239" s="146"/>
      <c r="EP239" s="146"/>
      <c r="EQ239" s="146"/>
      <c r="ER239" s="146"/>
      <c r="ES239" s="146"/>
      <c r="ET239" s="146"/>
      <c r="EU239" s="146"/>
      <c r="EV239" s="146"/>
      <c r="EW239" s="146"/>
      <c r="EX239" s="146"/>
      <c r="EY239" s="146"/>
      <c r="EZ239" s="146"/>
      <c r="FA239" s="146"/>
      <c r="FB239" s="146"/>
      <c r="FC239" s="146"/>
      <c r="FD239" s="146"/>
      <c r="FE239" s="146"/>
      <c r="FF239" s="146"/>
      <c r="FG239" s="146"/>
      <c r="FH239" s="146"/>
      <c r="FI239" s="146"/>
      <c r="FJ239" s="146"/>
      <c r="FK239" s="146"/>
      <c r="FL239" s="146"/>
      <c r="FM239" s="146"/>
      <c r="FN239" s="146"/>
      <c r="FO239" s="146"/>
      <c r="FP239" s="146"/>
      <c r="FQ239" s="146"/>
      <c r="FR239" s="146"/>
      <c r="FS239" s="146"/>
      <c r="FT239" s="146"/>
      <c r="FU239" s="146"/>
      <c r="FV239" s="146"/>
      <c r="FW239" s="146"/>
      <c r="FX239" s="146"/>
      <c r="FY239" s="146"/>
      <c r="FZ239" s="146"/>
      <c r="GA239" s="146"/>
      <c r="GB239" s="146"/>
      <c r="GC239" s="146"/>
      <c r="GD239" s="146"/>
      <c r="GE239" s="146"/>
      <c r="GF239" s="146"/>
      <c r="GG239" s="146"/>
      <c r="GH239" s="146"/>
      <c r="GI239" s="146"/>
      <c r="GJ239" s="146"/>
      <c r="GK239" s="146"/>
      <c r="GL239" s="146"/>
      <c r="GM239" s="146"/>
      <c r="GN239" s="146"/>
      <c r="GO239" s="146"/>
      <c r="GP239" s="146"/>
      <c r="GQ239" s="146"/>
      <c r="GR239" s="146"/>
      <c r="GS239" s="146"/>
      <c r="GT239" s="146"/>
      <c r="GU239" s="146"/>
      <c r="GV239" s="146"/>
      <c r="GW239" s="146"/>
      <c r="GX239" s="146"/>
      <c r="GY239" s="146"/>
      <c r="GZ239" s="146"/>
      <c r="HA239" s="146"/>
      <c r="HB239" s="146"/>
      <c r="HC239" s="146"/>
      <c r="HD239" s="146"/>
      <c r="HE239" s="146"/>
      <c r="HF239" s="146"/>
      <c r="HG239" s="146"/>
      <c r="HH239" s="146"/>
      <c r="HI239" s="146"/>
      <c r="HJ239" s="146"/>
      <c r="HK239" s="146"/>
      <c r="HL239" s="146"/>
      <c r="HM239" s="146"/>
      <c r="HN239" s="146"/>
      <c r="HO239" s="146"/>
      <c r="HP239" s="146"/>
      <c r="HQ239" s="146"/>
      <c r="HR239" s="146"/>
      <c r="HS239" s="146"/>
      <c r="HT239" s="146"/>
      <c r="HU239" s="146"/>
      <c r="HV239" s="146"/>
      <c r="HW239" s="146"/>
      <c r="HX239" s="146"/>
      <c r="HY239" s="146"/>
      <c r="HZ239" s="146"/>
      <c r="IA239" s="146"/>
      <c r="IB239" s="146"/>
      <c r="IC239" s="146"/>
      <c r="ID239" s="146"/>
      <c r="IE239" s="146"/>
      <c r="IF239" s="146"/>
      <c r="IG239" s="146"/>
      <c r="IH239" s="146"/>
      <c r="II239" s="146"/>
      <c r="IJ239" s="146"/>
      <c r="IK239" s="146"/>
      <c r="IL239" s="146"/>
      <c r="IM239" s="146"/>
      <c r="IN239" s="146"/>
      <c r="IO239" s="146"/>
      <c r="IP239" s="146"/>
      <c r="IQ239" s="146"/>
      <c r="IR239" s="146"/>
      <c r="IS239" s="146"/>
      <c r="IT239" s="146"/>
      <c r="IU239" s="146"/>
      <c r="IV239" s="146"/>
    </row>
    <row r="240" spans="1:256">
      <c r="A240" s="147" t="s">
        <v>219</v>
      </c>
      <c r="B240" s="143"/>
      <c r="C240" s="1" t="s">
        <v>220</v>
      </c>
      <c r="D240" s="143"/>
      <c r="E240" s="143"/>
      <c r="F240" s="143"/>
      <c r="G240" s="143"/>
      <c r="H240" s="143"/>
      <c r="I240" s="143"/>
      <c r="J240" s="143"/>
      <c r="K240" s="143"/>
      <c r="L240" s="143"/>
      <c r="M240" s="143"/>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46"/>
      <c r="AX240" s="146"/>
      <c r="AY240" s="146"/>
      <c r="AZ240" s="146"/>
      <c r="BA240" s="146"/>
      <c r="BB240" s="146"/>
      <c r="BC240" s="146"/>
      <c r="BD240" s="146"/>
      <c r="BE240" s="146"/>
      <c r="BF240" s="146"/>
      <c r="BG240" s="146"/>
      <c r="BH240" s="146"/>
      <c r="BI240" s="146"/>
      <c r="BJ240" s="146"/>
      <c r="BK240" s="146"/>
      <c r="BL240" s="146"/>
      <c r="BM240" s="146"/>
      <c r="BN240" s="146"/>
      <c r="BO240" s="146"/>
      <c r="BP240" s="146"/>
      <c r="BQ240" s="146"/>
      <c r="BR240" s="146"/>
      <c r="BS240" s="146"/>
      <c r="BT240" s="146"/>
      <c r="BU240" s="146"/>
      <c r="BV240" s="146"/>
      <c r="BW240" s="146"/>
      <c r="BX240" s="146"/>
      <c r="BY240" s="146"/>
      <c r="BZ240" s="146"/>
      <c r="CA240" s="146"/>
      <c r="CB240" s="146"/>
      <c r="CC240" s="146"/>
      <c r="CD240" s="146"/>
      <c r="CE240" s="146"/>
      <c r="CF240" s="146"/>
      <c r="CG240" s="146"/>
      <c r="CH240" s="146"/>
      <c r="CI240" s="146"/>
      <c r="CJ240" s="146"/>
      <c r="CK240" s="146"/>
      <c r="CL240" s="146"/>
      <c r="CM240" s="146"/>
      <c r="CN240" s="146"/>
      <c r="CO240" s="146"/>
      <c r="CP240" s="146"/>
      <c r="CQ240" s="146"/>
      <c r="CR240" s="146"/>
      <c r="CS240" s="146"/>
      <c r="CT240" s="146"/>
      <c r="CU240" s="146"/>
      <c r="CV240" s="146"/>
      <c r="CW240" s="146"/>
      <c r="CX240" s="146"/>
      <c r="CY240" s="146"/>
      <c r="CZ240" s="146"/>
      <c r="DA240" s="146"/>
      <c r="DB240" s="146"/>
      <c r="DC240" s="146"/>
      <c r="DD240" s="146"/>
      <c r="DE240" s="146"/>
      <c r="DF240" s="146"/>
      <c r="DG240" s="146"/>
      <c r="DH240" s="146"/>
      <c r="DI240" s="146"/>
      <c r="DJ240" s="146"/>
      <c r="DK240" s="146"/>
      <c r="DL240" s="146"/>
      <c r="DM240" s="146"/>
      <c r="DN240" s="146"/>
      <c r="DO240" s="146"/>
      <c r="DP240" s="146"/>
      <c r="DQ240" s="146"/>
      <c r="DR240" s="146"/>
      <c r="DS240" s="146"/>
      <c r="DT240" s="146"/>
      <c r="DU240" s="146"/>
      <c r="DV240" s="146"/>
      <c r="DW240" s="146"/>
      <c r="DX240" s="146"/>
      <c r="DY240" s="146"/>
      <c r="DZ240" s="146"/>
      <c r="EA240" s="146"/>
      <c r="EB240" s="146"/>
      <c r="EC240" s="146"/>
      <c r="ED240" s="146"/>
      <c r="EE240" s="146"/>
      <c r="EF240" s="146"/>
      <c r="EG240" s="146"/>
      <c r="EH240" s="146"/>
      <c r="EI240" s="146"/>
      <c r="EJ240" s="146"/>
      <c r="EK240" s="146"/>
      <c r="EL240" s="146"/>
      <c r="EM240" s="146"/>
      <c r="EN240" s="146"/>
      <c r="EO240" s="146"/>
      <c r="EP240" s="146"/>
      <c r="EQ240" s="146"/>
      <c r="ER240" s="146"/>
      <c r="ES240" s="146"/>
      <c r="ET240" s="146"/>
      <c r="EU240" s="146"/>
      <c r="EV240" s="146"/>
      <c r="EW240" s="146"/>
      <c r="EX240" s="146"/>
      <c r="EY240" s="146"/>
      <c r="EZ240" s="146"/>
      <c r="FA240" s="146"/>
      <c r="FB240" s="146"/>
      <c r="FC240" s="146"/>
      <c r="FD240" s="146"/>
      <c r="FE240" s="146"/>
      <c r="FF240" s="146"/>
      <c r="FG240" s="146"/>
      <c r="FH240" s="146"/>
      <c r="FI240" s="146"/>
      <c r="FJ240" s="146"/>
      <c r="FK240" s="146"/>
      <c r="FL240" s="146"/>
      <c r="FM240" s="146"/>
      <c r="FN240" s="146"/>
      <c r="FO240" s="146"/>
      <c r="FP240" s="146"/>
      <c r="FQ240" s="146"/>
      <c r="FR240" s="146"/>
      <c r="FS240" s="146"/>
      <c r="FT240" s="146"/>
      <c r="FU240" s="146"/>
      <c r="FV240" s="146"/>
      <c r="FW240" s="146"/>
      <c r="FX240" s="146"/>
      <c r="FY240" s="146"/>
      <c r="FZ240" s="146"/>
      <c r="GA240" s="146"/>
      <c r="GB240" s="146"/>
      <c r="GC240" s="146"/>
      <c r="GD240" s="146"/>
      <c r="GE240" s="146"/>
      <c r="GF240" s="146"/>
      <c r="GG240" s="146"/>
      <c r="GH240" s="146"/>
      <c r="GI240" s="146"/>
      <c r="GJ240" s="146"/>
      <c r="GK240" s="146"/>
      <c r="GL240" s="146"/>
      <c r="GM240" s="146"/>
      <c r="GN240" s="146"/>
      <c r="GO240" s="146"/>
      <c r="GP240" s="146"/>
      <c r="GQ240" s="146"/>
      <c r="GR240" s="146"/>
      <c r="GS240" s="146"/>
      <c r="GT240" s="146"/>
      <c r="GU240" s="146"/>
      <c r="GV240" s="146"/>
      <c r="GW240" s="146"/>
      <c r="GX240" s="146"/>
      <c r="GY240" s="146"/>
      <c r="GZ240" s="146"/>
      <c r="HA240" s="146"/>
      <c r="HB240" s="146"/>
      <c r="HC240" s="146"/>
      <c r="HD240" s="146"/>
      <c r="HE240" s="146"/>
      <c r="HF240" s="146"/>
      <c r="HG240" s="146"/>
      <c r="HH240" s="146"/>
      <c r="HI240" s="146"/>
      <c r="HJ240" s="146"/>
      <c r="HK240" s="146"/>
      <c r="HL240" s="146"/>
      <c r="HM240" s="146"/>
      <c r="HN240" s="146"/>
      <c r="HO240" s="146"/>
      <c r="HP240" s="146"/>
      <c r="HQ240" s="146"/>
      <c r="HR240" s="146"/>
      <c r="HS240" s="146"/>
      <c r="HT240" s="146"/>
      <c r="HU240" s="146"/>
      <c r="HV240" s="146"/>
      <c r="HW240" s="146"/>
      <c r="HX240" s="146"/>
      <c r="HY240" s="146"/>
      <c r="HZ240" s="146"/>
      <c r="IA240" s="146"/>
      <c r="IB240" s="146"/>
      <c r="IC240" s="146"/>
      <c r="ID240" s="146"/>
      <c r="IE240" s="146"/>
      <c r="IF240" s="146"/>
      <c r="IG240" s="146"/>
      <c r="IH240" s="146"/>
      <c r="II240" s="146"/>
      <c r="IJ240" s="146"/>
      <c r="IK240" s="146"/>
      <c r="IL240" s="146"/>
      <c r="IM240" s="146"/>
      <c r="IN240" s="146"/>
      <c r="IO240" s="146"/>
      <c r="IP240" s="146"/>
      <c r="IQ240" s="146"/>
      <c r="IR240" s="146"/>
      <c r="IS240" s="146"/>
      <c r="IT240" s="146"/>
      <c r="IU240" s="146"/>
      <c r="IV240" s="146"/>
    </row>
    <row r="241" spans="1:17">
      <c r="A241" s="15" t="s">
        <v>221</v>
      </c>
      <c r="B241" s="2"/>
      <c r="C241" s="20" t="s">
        <v>222</v>
      </c>
      <c r="D241" s="2"/>
      <c r="E241" s="2"/>
      <c r="F241" s="2"/>
      <c r="G241" s="2"/>
      <c r="H241" s="2"/>
      <c r="I241" s="2"/>
      <c r="J241" s="2"/>
      <c r="K241" s="2"/>
      <c r="L241" s="2"/>
      <c r="M241" s="15"/>
    </row>
    <row r="242" spans="1:17">
      <c r="A242" s="15"/>
      <c r="B242" s="2"/>
      <c r="C242" s="20" t="s">
        <v>223</v>
      </c>
      <c r="D242" s="2"/>
      <c r="E242" s="2"/>
      <c r="F242" s="2"/>
      <c r="G242" s="2"/>
      <c r="H242" s="2"/>
      <c r="I242" s="2"/>
      <c r="J242" s="2"/>
      <c r="K242" s="2"/>
      <c r="L242" s="2"/>
      <c r="M242" s="15"/>
    </row>
    <row r="243" spans="1:17">
      <c r="A243" s="15" t="s">
        <v>224</v>
      </c>
      <c r="B243" s="2"/>
      <c r="C243" s="1" t="s">
        <v>225</v>
      </c>
      <c r="D243" s="20"/>
      <c r="E243" s="20"/>
      <c r="F243" s="20"/>
      <c r="G243" s="20"/>
      <c r="H243" s="20"/>
      <c r="I243" s="20"/>
      <c r="J243" s="20"/>
      <c r="K243" s="20"/>
      <c r="L243" s="20"/>
      <c r="M243" s="15"/>
    </row>
    <row r="244" spans="1:17">
      <c r="A244" s="44" t="s">
        <v>226</v>
      </c>
      <c r="C244" s="20" t="s">
        <v>227</v>
      </c>
      <c r="D244" s="20"/>
      <c r="E244" s="20"/>
      <c r="F244" s="20"/>
      <c r="G244" s="20"/>
      <c r="H244" s="20"/>
      <c r="I244" s="20"/>
      <c r="J244" s="20"/>
      <c r="K244" s="20"/>
      <c r="L244" s="20"/>
    </row>
    <row r="245" spans="1:17">
      <c r="A245" s="44" t="s">
        <v>228</v>
      </c>
      <c r="C245" s="20" t="s">
        <v>229</v>
      </c>
      <c r="D245" s="20"/>
      <c r="E245" s="20"/>
      <c r="F245" s="20"/>
      <c r="G245" s="20"/>
      <c r="H245" s="20"/>
      <c r="I245" s="20"/>
      <c r="J245" s="20"/>
      <c r="K245" s="20"/>
      <c r="L245" s="20"/>
    </row>
    <row r="246" spans="1:17" ht="69.75" customHeight="1">
      <c r="A246" s="148" t="s">
        <v>230</v>
      </c>
      <c r="C246" s="854" t="s">
        <v>231</v>
      </c>
      <c r="D246" s="854"/>
      <c r="E246" s="854"/>
      <c r="F246" s="854"/>
      <c r="G246" s="854"/>
      <c r="H246" s="854"/>
      <c r="I246" s="854"/>
      <c r="J246" s="854"/>
      <c r="K246" s="854"/>
      <c r="L246" s="854"/>
      <c r="N246" s="149"/>
      <c r="O246" s="149"/>
      <c r="P246" s="149"/>
      <c r="Q246" s="149"/>
    </row>
    <row r="247" spans="1:17" ht="21.75" customHeight="1">
      <c r="N247" s="149"/>
      <c r="O247" s="149"/>
      <c r="P247" s="149"/>
      <c r="Q247" s="149"/>
    </row>
    <row r="248" spans="1:17">
      <c r="C248" s="143"/>
      <c r="D248" s="143"/>
      <c r="E248" s="150"/>
      <c r="F248" s="150"/>
      <c r="G248" s="143"/>
      <c r="H248" s="143"/>
      <c r="N248" s="149"/>
      <c r="O248" s="149"/>
      <c r="P248" s="149"/>
      <c r="Q248" s="149"/>
    </row>
    <row r="249" spans="1:17">
      <c r="C249" s="143"/>
      <c r="D249" s="143"/>
      <c r="E249" s="150"/>
      <c r="F249" s="150"/>
      <c r="G249" s="143"/>
      <c r="H249" s="151"/>
      <c r="N249" s="149"/>
      <c r="O249" s="149"/>
      <c r="P249" s="149"/>
      <c r="Q249" s="149"/>
    </row>
    <row r="250" spans="1:17">
      <c r="C250" s="143"/>
      <c r="D250" s="143"/>
      <c r="E250" s="150"/>
      <c r="F250" s="150"/>
      <c r="G250" s="143"/>
      <c r="H250" s="152"/>
      <c r="N250" s="149"/>
      <c r="O250" s="149"/>
      <c r="P250" s="149"/>
      <c r="Q250" s="149"/>
    </row>
    <row r="251" spans="1:17">
      <c r="C251" s="143"/>
      <c r="D251" s="143"/>
      <c r="E251" s="150"/>
      <c r="F251" s="150"/>
      <c r="G251" s="143"/>
      <c r="H251" s="153"/>
      <c r="N251" s="149"/>
      <c r="O251" s="149"/>
      <c r="P251" s="149"/>
      <c r="Q251" s="149"/>
    </row>
    <row r="252" spans="1:17">
      <c r="N252" s="149"/>
      <c r="O252" s="149"/>
      <c r="P252" s="149"/>
      <c r="Q252" s="149"/>
    </row>
    <row r="253" spans="1:17">
      <c r="N253" s="149"/>
      <c r="O253" s="149"/>
      <c r="P253" s="149"/>
      <c r="Q253" s="149"/>
    </row>
    <row r="254" spans="1:17">
      <c r="N254" s="149"/>
      <c r="O254" s="149"/>
      <c r="P254" s="149"/>
      <c r="Q254" s="149"/>
    </row>
    <row r="255" spans="1:17">
      <c r="N255" s="149"/>
      <c r="O255" s="149"/>
      <c r="P255" s="149"/>
      <c r="Q255" s="149"/>
    </row>
    <row r="256" spans="1:17">
      <c r="N256" s="149"/>
      <c r="O256" s="149"/>
      <c r="P256" s="149"/>
      <c r="Q256" s="149"/>
    </row>
    <row r="257" spans="14:17">
      <c r="N257" s="149"/>
      <c r="O257" s="149"/>
      <c r="P257" s="149"/>
      <c r="Q257" s="149"/>
    </row>
    <row r="258" spans="14:17">
      <c r="N258" s="149"/>
      <c r="O258" s="149"/>
      <c r="P258" s="149"/>
      <c r="Q258" s="149"/>
    </row>
    <row r="259" spans="14:17">
      <c r="N259" s="149"/>
      <c r="O259" s="149"/>
      <c r="P259" s="149"/>
      <c r="Q259" s="149"/>
    </row>
    <row r="260" spans="14:17">
      <c r="N260" s="149"/>
      <c r="O260" s="149"/>
      <c r="P260" s="149"/>
      <c r="Q260" s="149"/>
    </row>
    <row r="261" spans="14:17">
      <c r="N261" s="149"/>
      <c r="O261" s="149"/>
      <c r="P261" s="149"/>
      <c r="Q261" s="149"/>
    </row>
    <row r="262" spans="14:17">
      <c r="N262" s="149"/>
      <c r="O262" s="149"/>
      <c r="P262" s="149"/>
      <c r="Q262" s="149"/>
    </row>
    <row r="263" spans="14:17">
      <c r="N263" s="149"/>
      <c r="O263" s="149"/>
      <c r="P263" s="149"/>
      <c r="Q263" s="149"/>
    </row>
    <row r="264" spans="14:17">
      <c r="N264" s="149"/>
      <c r="O264" s="149"/>
      <c r="P264" s="149"/>
      <c r="Q264" s="149"/>
    </row>
    <row r="265" spans="14:17">
      <c r="N265" s="149"/>
      <c r="O265" s="149"/>
      <c r="P265" s="149"/>
      <c r="Q265" s="149"/>
    </row>
    <row r="266" spans="14:17">
      <c r="N266" s="149"/>
      <c r="O266" s="149"/>
      <c r="P266" s="149"/>
      <c r="Q266" s="149"/>
    </row>
    <row r="267" spans="14:17">
      <c r="N267" s="149"/>
      <c r="O267" s="149"/>
      <c r="P267" s="149"/>
      <c r="Q267" s="149"/>
    </row>
    <row r="268" spans="14:17">
      <c r="N268" s="149"/>
      <c r="O268" s="149"/>
      <c r="P268" s="149"/>
      <c r="Q268" s="149"/>
    </row>
    <row r="269" spans="14:17">
      <c r="N269" s="149"/>
      <c r="O269" s="149"/>
      <c r="P269" s="149"/>
      <c r="Q269" s="149"/>
    </row>
    <row r="270" spans="14:17">
      <c r="N270" s="149"/>
      <c r="O270" s="149"/>
      <c r="P270" s="149"/>
      <c r="Q270" s="149"/>
    </row>
    <row r="271" spans="14:17">
      <c r="N271" s="149"/>
      <c r="O271" s="149"/>
      <c r="P271" s="149"/>
      <c r="Q271" s="149"/>
    </row>
    <row r="272" spans="14:17">
      <c r="N272" s="149"/>
      <c r="O272" s="149"/>
      <c r="P272" s="149"/>
      <c r="Q272" s="149"/>
    </row>
    <row r="273" spans="14:17">
      <c r="N273" s="149"/>
      <c r="O273" s="149"/>
      <c r="P273" s="149"/>
      <c r="Q273" s="149"/>
    </row>
    <row r="274" spans="14:17">
      <c r="N274" s="149"/>
      <c r="O274" s="149"/>
      <c r="P274" s="149"/>
      <c r="Q274" s="149"/>
    </row>
    <row r="275" spans="14:17">
      <c r="N275" s="149"/>
      <c r="O275" s="149"/>
      <c r="P275" s="149"/>
      <c r="Q275" s="149"/>
    </row>
    <row r="276" spans="14:17">
      <c r="N276" s="149"/>
      <c r="O276" s="149"/>
      <c r="P276" s="149"/>
      <c r="Q276" s="149"/>
    </row>
    <row r="277" spans="14:17">
      <c r="N277" s="149"/>
      <c r="O277" s="149"/>
      <c r="P277" s="149"/>
      <c r="Q277" s="149"/>
    </row>
    <row r="278" spans="14:17">
      <c r="N278" s="149"/>
      <c r="O278" s="149"/>
      <c r="P278" s="149"/>
      <c r="Q278" s="149"/>
    </row>
    <row r="279" spans="14:17">
      <c r="N279" s="149"/>
      <c r="O279" s="149"/>
      <c r="P279" s="149"/>
      <c r="Q279" s="149"/>
    </row>
    <row r="280" spans="14:17">
      <c r="N280" s="149"/>
      <c r="O280" s="149"/>
      <c r="P280" s="149"/>
      <c r="Q280" s="149"/>
    </row>
    <row r="281" spans="14:17">
      <c r="N281" s="149"/>
      <c r="O281" s="149"/>
      <c r="P281" s="149"/>
      <c r="Q281" s="149"/>
    </row>
    <row r="282" spans="14:17">
      <c r="N282" s="149"/>
      <c r="O282" s="149"/>
      <c r="P282" s="149"/>
      <c r="Q282" s="149"/>
    </row>
    <row r="283" spans="14:17">
      <c r="N283" s="149"/>
      <c r="O283" s="149"/>
      <c r="P283" s="149"/>
      <c r="Q283" s="149"/>
    </row>
    <row r="284" spans="14:17">
      <c r="N284" s="149"/>
      <c r="O284" s="149"/>
      <c r="P284" s="149"/>
      <c r="Q284" s="149"/>
    </row>
    <row r="285" spans="14:17">
      <c r="N285" s="149"/>
      <c r="O285" s="149"/>
      <c r="P285" s="149"/>
      <c r="Q285" s="149"/>
    </row>
    <row r="286" spans="14:17">
      <c r="N286" s="149"/>
      <c r="O286" s="149"/>
      <c r="P286" s="149"/>
      <c r="Q286" s="149"/>
    </row>
    <row r="287" spans="14:17">
      <c r="N287" s="149"/>
      <c r="O287" s="149"/>
      <c r="P287" s="149"/>
      <c r="Q287" s="149"/>
    </row>
    <row r="288" spans="14:17">
      <c r="N288" s="149"/>
      <c r="O288" s="149"/>
      <c r="P288" s="149"/>
      <c r="Q288" s="149"/>
    </row>
    <row r="289" spans="14:17">
      <c r="N289" s="149"/>
      <c r="O289" s="149"/>
      <c r="P289" s="149"/>
      <c r="Q289" s="149"/>
    </row>
    <row r="290" spans="14:17">
      <c r="N290" s="149"/>
      <c r="O290" s="149"/>
      <c r="P290" s="149"/>
      <c r="Q290" s="149"/>
    </row>
    <row r="291" spans="14:17">
      <c r="N291" s="149"/>
      <c r="O291" s="149"/>
      <c r="P291" s="149"/>
      <c r="Q291" s="149"/>
    </row>
    <row r="292" spans="14:17">
      <c r="N292" s="149"/>
      <c r="O292" s="149"/>
      <c r="P292" s="149"/>
      <c r="Q292" s="149"/>
    </row>
    <row r="293" spans="14:17">
      <c r="N293" s="149"/>
      <c r="O293" s="149"/>
      <c r="P293" s="149"/>
      <c r="Q293" s="149"/>
    </row>
    <row r="294" spans="14:17">
      <c r="N294" s="149"/>
      <c r="O294" s="149"/>
      <c r="P294" s="149"/>
      <c r="Q294" s="149"/>
    </row>
    <row r="295" spans="14:17">
      <c r="N295" s="149"/>
      <c r="O295" s="149"/>
      <c r="P295" s="149"/>
      <c r="Q295" s="149"/>
    </row>
    <row r="296" spans="14:17">
      <c r="N296" s="149"/>
      <c r="O296" s="149"/>
      <c r="P296" s="149"/>
      <c r="Q296" s="149"/>
    </row>
    <row r="297" spans="14:17">
      <c r="N297" s="149"/>
      <c r="O297" s="149"/>
      <c r="P297" s="149"/>
      <c r="Q297" s="149"/>
    </row>
    <row r="298" spans="14:17">
      <c r="N298" s="149"/>
      <c r="O298" s="149"/>
      <c r="P298" s="149"/>
      <c r="Q298" s="149"/>
    </row>
    <row r="299" spans="14:17">
      <c r="N299" s="149"/>
      <c r="O299" s="149"/>
      <c r="P299" s="149"/>
      <c r="Q299" s="149"/>
    </row>
    <row r="300" spans="14:17">
      <c r="N300" s="149"/>
      <c r="O300" s="149"/>
      <c r="P300" s="149"/>
      <c r="Q300" s="149"/>
    </row>
    <row r="301" spans="14:17">
      <c r="N301" s="149"/>
      <c r="O301" s="149"/>
      <c r="P301" s="149"/>
      <c r="Q301" s="149"/>
    </row>
    <row r="302" spans="14:17">
      <c r="N302" s="149"/>
      <c r="O302" s="149"/>
      <c r="P302" s="149"/>
      <c r="Q302" s="149"/>
    </row>
    <row r="303" spans="14:17">
      <c r="N303" s="149"/>
      <c r="O303" s="149"/>
      <c r="P303" s="149"/>
      <c r="Q303" s="149"/>
    </row>
    <row r="304" spans="14:17">
      <c r="N304" s="149"/>
      <c r="O304" s="149"/>
      <c r="P304" s="149"/>
      <c r="Q304" s="149"/>
    </row>
    <row r="305" spans="14:17">
      <c r="N305" s="149"/>
      <c r="O305" s="149"/>
      <c r="P305" s="149"/>
      <c r="Q305" s="149"/>
    </row>
    <row r="306" spans="14:17">
      <c r="N306" s="149"/>
      <c r="O306" s="149"/>
      <c r="P306" s="149"/>
      <c r="Q306" s="149"/>
    </row>
    <row r="307" spans="14:17">
      <c r="N307" s="149"/>
      <c r="O307" s="149"/>
      <c r="P307" s="149"/>
      <c r="Q307" s="149"/>
    </row>
    <row r="308" spans="14:17">
      <c r="N308" s="149"/>
      <c r="O308" s="149"/>
      <c r="P308" s="149"/>
      <c r="Q308" s="149"/>
    </row>
    <row r="309" spans="14:17">
      <c r="N309" s="149"/>
      <c r="O309" s="149"/>
      <c r="P309" s="149"/>
      <c r="Q309" s="149"/>
    </row>
    <row r="310" spans="14:17">
      <c r="N310" s="149"/>
      <c r="O310" s="149"/>
      <c r="P310" s="149"/>
      <c r="Q310" s="149"/>
    </row>
    <row r="311" spans="14:17">
      <c r="N311" s="149"/>
      <c r="O311" s="149"/>
      <c r="P311" s="149"/>
      <c r="Q311" s="149"/>
    </row>
    <row r="312" spans="14:17">
      <c r="N312" s="149"/>
      <c r="O312" s="149"/>
      <c r="P312" s="149"/>
      <c r="Q312" s="149"/>
    </row>
    <row r="313" spans="14:17">
      <c r="N313" s="149"/>
      <c r="O313" s="149"/>
      <c r="P313" s="149"/>
      <c r="Q313" s="149"/>
    </row>
    <row r="314" spans="14:17">
      <c r="N314" s="149"/>
      <c r="O314" s="149"/>
      <c r="P314" s="149"/>
      <c r="Q314" s="149"/>
    </row>
    <row r="315" spans="14:17">
      <c r="N315" s="149"/>
      <c r="O315" s="149"/>
      <c r="P315" s="149"/>
      <c r="Q315" s="149"/>
    </row>
    <row r="316" spans="14:17">
      <c r="N316" s="149"/>
      <c r="O316" s="149"/>
      <c r="P316" s="149"/>
      <c r="Q316" s="149"/>
    </row>
    <row r="317" spans="14:17">
      <c r="N317" s="149"/>
      <c r="O317" s="149"/>
      <c r="P317" s="149"/>
      <c r="Q317" s="149"/>
    </row>
    <row r="318" spans="14:17">
      <c r="N318" s="149"/>
      <c r="O318" s="149"/>
      <c r="P318" s="149"/>
      <c r="Q318" s="149"/>
    </row>
    <row r="319" spans="14:17">
      <c r="N319" s="149"/>
      <c r="O319" s="149"/>
      <c r="P319" s="149"/>
      <c r="Q319" s="149"/>
    </row>
    <row r="320" spans="14:17">
      <c r="N320" s="149"/>
      <c r="O320" s="149"/>
      <c r="P320" s="149"/>
      <c r="Q320" s="149"/>
    </row>
    <row r="321" spans="14:17">
      <c r="N321" s="149"/>
      <c r="O321" s="149"/>
      <c r="P321" s="149"/>
      <c r="Q321" s="149"/>
    </row>
    <row r="322" spans="14:17">
      <c r="N322" s="149"/>
      <c r="O322" s="149"/>
      <c r="P322" s="149"/>
      <c r="Q322" s="149"/>
    </row>
    <row r="323" spans="14:17">
      <c r="N323" s="149"/>
      <c r="O323" s="149"/>
      <c r="P323" s="149"/>
      <c r="Q323" s="149"/>
    </row>
    <row r="324" spans="14:17">
      <c r="N324" s="149"/>
      <c r="O324" s="149"/>
      <c r="P324" s="149"/>
      <c r="Q324" s="149"/>
    </row>
    <row r="325" spans="14:17">
      <c r="N325" s="149"/>
      <c r="O325" s="149"/>
      <c r="P325" s="149"/>
      <c r="Q325" s="149"/>
    </row>
    <row r="326" spans="14:17">
      <c r="N326" s="149"/>
      <c r="O326" s="149"/>
      <c r="P326" s="149"/>
      <c r="Q326" s="149"/>
    </row>
    <row r="327" spans="14:17">
      <c r="N327" s="149"/>
      <c r="O327" s="149"/>
      <c r="P327" s="149"/>
      <c r="Q327" s="149"/>
    </row>
    <row r="328" spans="14:17">
      <c r="N328" s="149"/>
      <c r="O328" s="149"/>
      <c r="P328" s="149"/>
      <c r="Q328" s="149"/>
    </row>
    <row r="329" spans="14:17">
      <c r="N329" s="149"/>
      <c r="O329" s="149"/>
      <c r="P329" s="149"/>
      <c r="Q329" s="149"/>
    </row>
    <row r="330" spans="14:17">
      <c r="N330" s="149"/>
      <c r="O330" s="149"/>
      <c r="P330" s="149"/>
      <c r="Q330" s="149"/>
    </row>
    <row r="331" spans="14:17">
      <c r="N331" s="149"/>
      <c r="O331" s="149"/>
      <c r="P331" s="149"/>
      <c r="Q331" s="149"/>
    </row>
    <row r="332" spans="14:17">
      <c r="N332" s="149"/>
      <c r="O332" s="149"/>
      <c r="P332" s="149"/>
      <c r="Q332" s="149"/>
    </row>
    <row r="333" spans="14:17">
      <c r="N333" s="149"/>
      <c r="O333" s="149"/>
      <c r="P333" s="149"/>
      <c r="Q333" s="149"/>
    </row>
    <row r="334" spans="14:17">
      <c r="N334" s="149"/>
      <c r="O334" s="149"/>
      <c r="P334" s="149"/>
      <c r="Q334" s="149"/>
    </row>
    <row r="335" spans="14:17">
      <c r="N335" s="149"/>
      <c r="O335" s="149"/>
      <c r="P335" s="149"/>
      <c r="Q335" s="149"/>
    </row>
    <row r="336" spans="14:17">
      <c r="N336" s="149"/>
      <c r="O336" s="149"/>
      <c r="P336" s="149"/>
      <c r="Q336" s="149"/>
    </row>
    <row r="337" spans="14:17">
      <c r="N337" s="149"/>
      <c r="O337" s="149"/>
      <c r="P337" s="149"/>
      <c r="Q337" s="149"/>
    </row>
    <row r="338" spans="14:17">
      <c r="N338" s="149"/>
      <c r="O338" s="149"/>
      <c r="P338" s="149"/>
      <c r="Q338" s="149"/>
    </row>
    <row r="339" spans="14:17">
      <c r="N339" s="149"/>
      <c r="O339" s="149"/>
      <c r="P339" s="149"/>
      <c r="Q339" s="149"/>
    </row>
    <row r="340" spans="14:17">
      <c r="N340" s="149"/>
      <c r="O340" s="149"/>
      <c r="P340" s="149"/>
      <c r="Q340" s="149"/>
    </row>
    <row r="341" spans="14:17">
      <c r="N341" s="149"/>
      <c r="O341" s="149"/>
      <c r="P341" s="149"/>
      <c r="Q341" s="149"/>
    </row>
    <row r="342" spans="14:17">
      <c r="N342" s="149"/>
      <c r="O342" s="149"/>
      <c r="P342" s="149"/>
      <c r="Q342" s="149"/>
    </row>
    <row r="343" spans="14:17">
      <c r="N343" s="149"/>
      <c r="O343" s="149"/>
      <c r="P343" s="149"/>
      <c r="Q343" s="149"/>
    </row>
    <row r="344" spans="14:17">
      <c r="N344" s="149"/>
      <c r="O344" s="149"/>
      <c r="P344" s="149"/>
      <c r="Q344" s="149"/>
    </row>
    <row r="345" spans="14:17">
      <c r="N345" s="149"/>
      <c r="O345" s="149"/>
      <c r="P345" s="149"/>
      <c r="Q345" s="149"/>
    </row>
    <row r="346" spans="14:17">
      <c r="N346" s="149"/>
      <c r="O346" s="149"/>
      <c r="P346" s="149"/>
      <c r="Q346" s="149"/>
    </row>
    <row r="347" spans="14:17">
      <c r="N347" s="149"/>
      <c r="O347" s="149"/>
      <c r="P347" s="149"/>
      <c r="Q347" s="149"/>
    </row>
    <row r="348" spans="14:17">
      <c r="N348" s="149"/>
      <c r="O348" s="149"/>
      <c r="P348" s="149"/>
      <c r="Q348" s="149"/>
    </row>
    <row r="349" spans="14:17">
      <c r="N349" s="149"/>
      <c r="O349" s="149"/>
      <c r="P349" s="149"/>
      <c r="Q349" s="149"/>
    </row>
    <row r="350" spans="14:17">
      <c r="N350" s="149"/>
      <c r="O350" s="149"/>
      <c r="P350" s="149"/>
      <c r="Q350" s="149"/>
    </row>
    <row r="351" spans="14:17">
      <c r="N351" s="149"/>
      <c r="O351" s="149"/>
      <c r="P351" s="149"/>
      <c r="Q351" s="149"/>
    </row>
    <row r="352" spans="14:17">
      <c r="N352" s="149"/>
      <c r="O352" s="149"/>
      <c r="P352" s="149"/>
      <c r="Q352" s="149"/>
    </row>
    <row r="353" spans="14:17">
      <c r="N353" s="149"/>
      <c r="O353" s="149"/>
      <c r="P353" s="149"/>
      <c r="Q353" s="149"/>
    </row>
    <row r="354" spans="14:17">
      <c r="N354" s="149"/>
      <c r="O354" s="149"/>
      <c r="P354" s="149"/>
      <c r="Q354" s="149"/>
    </row>
    <row r="355" spans="14:17">
      <c r="N355" s="149"/>
      <c r="O355" s="149"/>
      <c r="P355" s="149"/>
      <c r="Q355" s="149"/>
    </row>
    <row r="356" spans="14:17">
      <c r="N356" s="149"/>
      <c r="O356" s="149"/>
      <c r="P356" s="149"/>
      <c r="Q356" s="149"/>
    </row>
    <row r="357" spans="14:17">
      <c r="N357" s="149"/>
      <c r="O357" s="149"/>
      <c r="P357" s="149"/>
      <c r="Q357" s="149"/>
    </row>
    <row r="358" spans="14:17">
      <c r="N358" s="149"/>
      <c r="O358" s="149"/>
      <c r="P358" s="149"/>
      <c r="Q358" s="149"/>
    </row>
    <row r="359" spans="14:17">
      <c r="N359" s="149"/>
      <c r="O359" s="149"/>
      <c r="P359" s="149"/>
      <c r="Q359" s="149"/>
    </row>
    <row r="360" spans="14:17">
      <c r="N360" s="149"/>
      <c r="O360" s="149"/>
      <c r="P360" s="149"/>
      <c r="Q360" s="149"/>
    </row>
    <row r="361" spans="14:17">
      <c r="N361" s="149"/>
      <c r="O361" s="149"/>
      <c r="P361" s="149"/>
      <c r="Q361" s="149"/>
    </row>
    <row r="362" spans="14:17">
      <c r="N362" s="149"/>
      <c r="O362" s="149"/>
      <c r="P362" s="149"/>
      <c r="Q362" s="149"/>
    </row>
    <row r="363" spans="14:17">
      <c r="N363" s="149"/>
      <c r="O363" s="149"/>
      <c r="P363" s="149"/>
      <c r="Q363" s="149"/>
    </row>
    <row r="364" spans="14:17">
      <c r="N364" s="149"/>
      <c r="O364" s="149"/>
      <c r="P364" s="149"/>
      <c r="Q364" s="149"/>
    </row>
    <row r="365" spans="14:17">
      <c r="N365" s="149"/>
      <c r="O365" s="149"/>
      <c r="P365" s="149"/>
      <c r="Q365" s="149"/>
    </row>
    <row r="366" spans="14:17">
      <c r="N366" s="149"/>
      <c r="O366" s="149"/>
      <c r="P366" s="149"/>
      <c r="Q366" s="149"/>
    </row>
    <row r="367" spans="14:17">
      <c r="N367" s="149"/>
      <c r="O367" s="149"/>
      <c r="P367" s="149"/>
      <c r="Q367" s="149"/>
    </row>
    <row r="368" spans="14:17">
      <c r="N368" s="149"/>
      <c r="O368" s="149"/>
      <c r="P368" s="149"/>
      <c r="Q368" s="149"/>
    </row>
    <row r="369" spans="14:17">
      <c r="N369" s="149"/>
      <c r="O369" s="149"/>
      <c r="P369" s="149"/>
      <c r="Q369" s="149"/>
    </row>
    <row r="370" spans="14:17">
      <c r="N370" s="149"/>
      <c r="O370" s="149"/>
      <c r="P370" s="149"/>
      <c r="Q370" s="149"/>
    </row>
    <row r="371" spans="14:17">
      <c r="N371" s="149"/>
      <c r="O371" s="149"/>
      <c r="P371" s="149"/>
      <c r="Q371" s="149"/>
    </row>
    <row r="372" spans="14:17">
      <c r="N372" s="149"/>
      <c r="O372" s="149"/>
      <c r="P372" s="149"/>
      <c r="Q372" s="149"/>
    </row>
    <row r="373" spans="14:17">
      <c r="N373" s="149"/>
      <c r="O373" s="149"/>
      <c r="P373" s="149"/>
      <c r="Q373" s="149"/>
    </row>
    <row r="374" spans="14:17">
      <c r="N374" s="149"/>
      <c r="O374" s="149"/>
      <c r="P374" s="149"/>
      <c r="Q374" s="149"/>
    </row>
    <row r="375" spans="14:17">
      <c r="N375" s="149"/>
      <c r="O375" s="149"/>
      <c r="P375" s="149"/>
      <c r="Q375" s="149"/>
    </row>
    <row r="376" spans="14:17">
      <c r="N376" s="149"/>
      <c r="O376" s="149"/>
      <c r="P376" s="149"/>
      <c r="Q376" s="149"/>
    </row>
    <row r="377" spans="14:17">
      <c r="N377" s="149"/>
      <c r="O377" s="149"/>
      <c r="P377" s="149"/>
      <c r="Q377" s="149"/>
    </row>
    <row r="378" spans="14:17">
      <c r="N378" s="149"/>
      <c r="O378" s="149"/>
      <c r="P378" s="149"/>
      <c r="Q378" s="149"/>
    </row>
    <row r="379" spans="14:17">
      <c r="N379" s="149"/>
      <c r="O379" s="149"/>
      <c r="P379" s="149"/>
      <c r="Q379" s="149"/>
    </row>
    <row r="380" spans="14:17">
      <c r="N380" s="149"/>
      <c r="O380" s="149"/>
      <c r="P380" s="149"/>
      <c r="Q380" s="149"/>
    </row>
    <row r="381" spans="14:17">
      <c r="N381" s="149"/>
      <c r="O381" s="149"/>
      <c r="P381" s="149"/>
      <c r="Q381" s="149"/>
    </row>
    <row r="382" spans="14:17">
      <c r="N382" s="149"/>
      <c r="O382" s="149"/>
      <c r="P382" s="149"/>
      <c r="Q382" s="149"/>
    </row>
    <row r="383" spans="14:17">
      <c r="N383" s="149"/>
      <c r="O383" s="149"/>
      <c r="P383" s="149"/>
      <c r="Q383" s="149"/>
    </row>
    <row r="384" spans="14:17">
      <c r="N384" s="149"/>
      <c r="O384" s="149"/>
      <c r="P384" s="149"/>
      <c r="Q384" s="149"/>
    </row>
    <row r="385" spans="14:17">
      <c r="N385" s="149"/>
      <c r="O385" s="149"/>
      <c r="P385" s="149"/>
      <c r="Q385" s="149"/>
    </row>
    <row r="386" spans="14:17">
      <c r="N386" s="149"/>
      <c r="O386" s="149"/>
      <c r="P386" s="149"/>
      <c r="Q386" s="149"/>
    </row>
    <row r="387" spans="14:17">
      <c r="N387" s="149"/>
      <c r="O387" s="149"/>
      <c r="P387" s="149"/>
      <c r="Q387" s="149"/>
    </row>
    <row r="388" spans="14:17">
      <c r="N388" s="149"/>
      <c r="O388" s="149"/>
      <c r="P388" s="149"/>
      <c r="Q388" s="149"/>
    </row>
    <row r="389" spans="14:17">
      <c r="N389" s="149"/>
      <c r="O389" s="149"/>
      <c r="P389" s="149"/>
      <c r="Q389" s="149"/>
    </row>
    <row r="390" spans="14:17">
      <c r="N390" s="149"/>
      <c r="O390" s="149"/>
      <c r="P390" s="149"/>
      <c r="Q390" s="149"/>
    </row>
    <row r="391" spans="14:17">
      <c r="N391" s="149"/>
      <c r="O391" s="149"/>
      <c r="P391" s="149"/>
      <c r="Q391" s="149"/>
    </row>
    <row r="392" spans="14:17">
      <c r="N392" s="149"/>
      <c r="O392" s="149"/>
      <c r="P392" s="149"/>
      <c r="Q392" s="149"/>
    </row>
    <row r="393" spans="14:17">
      <c r="N393" s="149"/>
      <c r="O393" s="149"/>
      <c r="P393" s="149"/>
      <c r="Q393" s="149"/>
    </row>
    <row r="394" spans="14:17">
      <c r="N394" s="149"/>
      <c r="O394" s="149"/>
      <c r="P394" s="149"/>
      <c r="Q394" s="149"/>
    </row>
    <row r="395" spans="14:17">
      <c r="N395" s="149"/>
      <c r="O395" s="149"/>
      <c r="P395" s="149"/>
      <c r="Q395" s="149"/>
    </row>
    <row r="396" spans="14:17">
      <c r="N396" s="149"/>
      <c r="O396" s="149"/>
      <c r="P396" s="149"/>
      <c r="Q396" s="149"/>
    </row>
    <row r="397" spans="14:17">
      <c r="N397" s="149"/>
      <c r="O397" s="149"/>
      <c r="P397" s="149"/>
      <c r="Q397" s="149"/>
    </row>
    <row r="398" spans="14:17">
      <c r="N398" s="149"/>
      <c r="O398" s="149"/>
      <c r="P398" s="149"/>
      <c r="Q398" s="149"/>
    </row>
    <row r="399" spans="14:17">
      <c r="N399" s="149"/>
      <c r="O399" s="149"/>
      <c r="P399" s="149"/>
      <c r="Q399" s="149"/>
    </row>
    <row r="400" spans="14:17">
      <c r="N400" s="149"/>
      <c r="O400" s="149"/>
      <c r="P400" s="149"/>
      <c r="Q400" s="149"/>
    </row>
    <row r="401" spans="14:17">
      <c r="N401" s="149"/>
      <c r="O401" s="149"/>
      <c r="P401" s="149"/>
      <c r="Q401" s="149"/>
    </row>
    <row r="402" spans="14:17">
      <c r="N402" s="149"/>
      <c r="O402" s="149"/>
      <c r="P402" s="149"/>
      <c r="Q402" s="149"/>
    </row>
    <row r="403" spans="14:17">
      <c r="N403" s="149"/>
      <c r="O403" s="149"/>
      <c r="P403" s="149"/>
      <c r="Q403" s="149"/>
    </row>
    <row r="404" spans="14:17">
      <c r="N404" s="149"/>
      <c r="O404" s="149"/>
      <c r="P404" s="149"/>
      <c r="Q404" s="149"/>
    </row>
    <row r="405" spans="14:17">
      <c r="N405" s="149"/>
      <c r="O405" s="149"/>
      <c r="P405" s="149"/>
      <c r="Q405" s="149"/>
    </row>
    <row r="406" spans="14:17">
      <c r="N406" s="149"/>
      <c r="O406" s="149"/>
      <c r="P406" s="149"/>
      <c r="Q406" s="149"/>
    </row>
    <row r="407" spans="14:17">
      <c r="N407" s="149"/>
      <c r="O407" s="149"/>
      <c r="P407" s="149"/>
      <c r="Q407" s="149"/>
    </row>
    <row r="408" spans="14:17">
      <c r="N408" s="149"/>
      <c r="O408" s="149"/>
      <c r="P408" s="149"/>
      <c r="Q408" s="149"/>
    </row>
    <row r="409" spans="14:17">
      <c r="N409" s="149"/>
      <c r="O409" s="149"/>
      <c r="P409" s="149"/>
      <c r="Q409" s="149"/>
    </row>
    <row r="410" spans="14:17">
      <c r="N410" s="149"/>
      <c r="O410" s="149"/>
      <c r="P410" s="149"/>
      <c r="Q410" s="149"/>
    </row>
    <row r="411" spans="14:17">
      <c r="N411" s="149"/>
      <c r="O411" s="149"/>
      <c r="P411" s="149"/>
      <c r="Q411" s="149"/>
    </row>
    <row r="412" spans="14:17">
      <c r="N412" s="149"/>
      <c r="O412" s="149"/>
      <c r="P412" s="149"/>
      <c r="Q412" s="149"/>
    </row>
    <row r="413" spans="14:17">
      <c r="N413" s="149"/>
      <c r="O413" s="149"/>
      <c r="P413" s="149"/>
      <c r="Q413" s="149"/>
    </row>
    <row r="414" spans="14:17">
      <c r="N414" s="149"/>
      <c r="O414" s="149"/>
      <c r="P414" s="149"/>
      <c r="Q414" s="149"/>
    </row>
    <row r="415" spans="14:17">
      <c r="N415" s="149"/>
      <c r="O415" s="149"/>
      <c r="P415" s="149"/>
      <c r="Q415" s="149"/>
    </row>
    <row r="416" spans="14:17">
      <c r="N416" s="149"/>
      <c r="O416" s="149"/>
      <c r="P416" s="149"/>
      <c r="Q416" s="149"/>
    </row>
    <row r="417" spans="14:17">
      <c r="N417" s="149"/>
      <c r="O417" s="149"/>
      <c r="P417" s="149"/>
      <c r="Q417" s="149"/>
    </row>
    <row r="418" spans="14:17">
      <c r="N418" s="149"/>
      <c r="O418" s="149"/>
      <c r="P418" s="149"/>
      <c r="Q418" s="149"/>
    </row>
    <row r="419" spans="14:17">
      <c r="N419" s="149"/>
      <c r="O419" s="149"/>
      <c r="P419" s="149"/>
      <c r="Q419" s="149"/>
    </row>
    <row r="420" spans="14:17">
      <c r="N420" s="149"/>
      <c r="O420" s="149"/>
      <c r="P420" s="149"/>
      <c r="Q420" s="149"/>
    </row>
    <row r="421" spans="14:17">
      <c r="N421" s="149"/>
      <c r="O421" s="149"/>
      <c r="P421" s="149"/>
      <c r="Q421" s="149"/>
    </row>
    <row r="422" spans="14:17">
      <c r="N422" s="149"/>
      <c r="O422" s="149"/>
      <c r="P422" s="149"/>
      <c r="Q422" s="149"/>
    </row>
    <row r="423" spans="14:17">
      <c r="N423" s="149"/>
      <c r="O423" s="149"/>
      <c r="P423" s="149"/>
      <c r="Q423" s="149"/>
    </row>
    <row r="424" spans="14:17">
      <c r="N424" s="149"/>
      <c r="O424" s="149"/>
      <c r="P424" s="149"/>
      <c r="Q424" s="149"/>
    </row>
    <row r="425" spans="14:17">
      <c r="N425" s="149"/>
      <c r="O425" s="149"/>
      <c r="P425" s="149"/>
      <c r="Q425" s="149"/>
    </row>
    <row r="426" spans="14:17">
      <c r="N426" s="149"/>
      <c r="O426" s="149"/>
      <c r="P426" s="149"/>
      <c r="Q426" s="149"/>
    </row>
    <row r="427" spans="14:17">
      <c r="N427" s="149"/>
      <c r="O427" s="149"/>
      <c r="P427" s="149"/>
      <c r="Q427" s="149"/>
    </row>
    <row r="428" spans="14:17">
      <c r="N428" s="149"/>
      <c r="O428" s="149"/>
      <c r="P428" s="149"/>
      <c r="Q428" s="149"/>
    </row>
    <row r="429" spans="14:17">
      <c r="N429" s="149"/>
      <c r="O429" s="149"/>
      <c r="P429" s="149"/>
      <c r="Q429" s="149"/>
    </row>
    <row r="430" spans="14:17">
      <c r="N430" s="149"/>
      <c r="O430" s="149"/>
      <c r="P430" s="149"/>
      <c r="Q430" s="149"/>
    </row>
    <row r="431" spans="14:17">
      <c r="N431" s="149"/>
      <c r="O431" s="149"/>
      <c r="P431" s="149"/>
      <c r="Q431" s="149"/>
    </row>
    <row r="432" spans="14:17">
      <c r="N432" s="149"/>
      <c r="O432" s="149"/>
      <c r="P432" s="149"/>
      <c r="Q432" s="149"/>
    </row>
    <row r="433" spans="14:17">
      <c r="N433" s="149"/>
      <c r="O433" s="149"/>
      <c r="P433" s="149"/>
      <c r="Q433" s="149"/>
    </row>
    <row r="434" spans="14:17">
      <c r="N434" s="149"/>
      <c r="O434" s="149"/>
      <c r="P434" s="149"/>
      <c r="Q434" s="149"/>
    </row>
    <row r="435" spans="14:17">
      <c r="N435" s="149"/>
      <c r="O435" s="149"/>
      <c r="P435" s="149"/>
      <c r="Q435" s="149"/>
    </row>
    <row r="436" spans="14:17">
      <c r="N436" s="149"/>
      <c r="O436" s="149"/>
      <c r="P436" s="149"/>
      <c r="Q436" s="149"/>
    </row>
    <row r="437" spans="14:17">
      <c r="N437" s="149"/>
      <c r="O437" s="149"/>
      <c r="P437" s="149"/>
      <c r="Q437" s="149"/>
    </row>
    <row r="438" spans="14:17">
      <c r="N438" s="149"/>
      <c r="O438" s="149"/>
      <c r="P438" s="149"/>
      <c r="Q438" s="149"/>
    </row>
    <row r="439" spans="14:17">
      <c r="N439" s="149"/>
      <c r="O439" s="149"/>
      <c r="P439" s="149"/>
      <c r="Q439" s="149"/>
    </row>
    <row r="440" spans="14:17">
      <c r="N440" s="149"/>
      <c r="O440" s="149"/>
      <c r="P440" s="149"/>
      <c r="Q440" s="149"/>
    </row>
    <row r="441" spans="14:17">
      <c r="N441" s="149"/>
      <c r="O441" s="149"/>
      <c r="P441" s="149"/>
      <c r="Q441" s="149"/>
    </row>
    <row r="442" spans="14:17">
      <c r="N442" s="149"/>
      <c r="O442" s="149"/>
      <c r="P442" s="149"/>
      <c r="Q442" s="149"/>
    </row>
    <row r="443" spans="14:17">
      <c r="N443" s="149"/>
      <c r="O443" s="149"/>
      <c r="P443" s="149"/>
      <c r="Q443" s="149"/>
    </row>
    <row r="444" spans="14:17">
      <c r="N444" s="149"/>
      <c r="O444" s="149"/>
      <c r="P444" s="149"/>
      <c r="Q444" s="149"/>
    </row>
    <row r="445" spans="14:17">
      <c r="N445" s="149"/>
      <c r="O445" s="149"/>
      <c r="P445" s="149"/>
      <c r="Q445" s="149"/>
    </row>
    <row r="446" spans="14:17">
      <c r="N446" s="149"/>
      <c r="O446" s="149"/>
      <c r="P446" s="149"/>
      <c r="Q446" s="149"/>
    </row>
    <row r="447" spans="14:17">
      <c r="N447" s="149"/>
      <c r="O447" s="149"/>
      <c r="P447" s="149"/>
      <c r="Q447" s="149"/>
    </row>
    <row r="448" spans="14:17">
      <c r="N448" s="149"/>
      <c r="O448" s="149"/>
      <c r="P448" s="149"/>
      <c r="Q448" s="149"/>
    </row>
    <row r="449" spans="14:17">
      <c r="N449" s="149"/>
      <c r="O449" s="149"/>
      <c r="P449" s="149"/>
      <c r="Q449" s="149"/>
    </row>
    <row r="450" spans="14:17">
      <c r="N450" s="149"/>
      <c r="O450" s="149"/>
      <c r="P450" s="149"/>
      <c r="Q450" s="149"/>
    </row>
    <row r="451" spans="14:17">
      <c r="N451" s="149"/>
      <c r="O451" s="149"/>
      <c r="P451" s="149"/>
      <c r="Q451" s="149"/>
    </row>
    <row r="452" spans="14:17">
      <c r="N452" s="149"/>
      <c r="O452" s="149"/>
      <c r="P452" s="149"/>
      <c r="Q452" s="149"/>
    </row>
    <row r="453" spans="14:17">
      <c r="N453" s="149"/>
      <c r="O453" s="149"/>
      <c r="P453" s="149"/>
      <c r="Q453" s="149"/>
    </row>
    <row r="454" spans="14:17">
      <c r="N454" s="149"/>
      <c r="O454" s="149"/>
      <c r="P454" s="149"/>
      <c r="Q454" s="149"/>
    </row>
    <row r="455" spans="14:17">
      <c r="N455" s="149"/>
      <c r="O455" s="149"/>
      <c r="P455" s="149"/>
      <c r="Q455" s="149"/>
    </row>
    <row r="456" spans="14:17">
      <c r="N456" s="149"/>
      <c r="O456" s="149"/>
      <c r="P456" s="149"/>
      <c r="Q456" s="149"/>
    </row>
    <row r="457" spans="14:17">
      <c r="N457" s="149"/>
      <c r="O457" s="149"/>
      <c r="P457" s="149"/>
      <c r="Q457" s="149"/>
    </row>
    <row r="458" spans="14:17">
      <c r="N458" s="149"/>
      <c r="O458" s="149"/>
      <c r="P458" s="149"/>
      <c r="Q458" s="149"/>
    </row>
    <row r="459" spans="14:17">
      <c r="N459" s="149"/>
      <c r="O459" s="149"/>
      <c r="P459" s="149"/>
      <c r="Q459" s="149"/>
    </row>
    <row r="460" spans="14:17">
      <c r="N460" s="149"/>
      <c r="O460" s="149"/>
      <c r="P460" s="149"/>
      <c r="Q460" s="149"/>
    </row>
    <row r="461" spans="14:17">
      <c r="N461" s="149"/>
      <c r="O461" s="149"/>
      <c r="P461" s="149"/>
      <c r="Q461" s="149"/>
    </row>
    <row r="462" spans="14:17">
      <c r="N462" s="149"/>
      <c r="O462" s="149"/>
      <c r="P462" s="149"/>
      <c r="Q462" s="149"/>
    </row>
    <row r="463" spans="14:17">
      <c r="N463" s="149"/>
      <c r="O463" s="149"/>
      <c r="P463" s="149"/>
      <c r="Q463" s="149"/>
    </row>
    <row r="464" spans="14:17">
      <c r="N464" s="149"/>
      <c r="O464" s="149"/>
      <c r="P464" s="149"/>
      <c r="Q464" s="149"/>
    </row>
    <row r="465" spans="14:17">
      <c r="N465" s="149"/>
      <c r="O465" s="149"/>
      <c r="P465" s="149"/>
      <c r="Q465" s="149"/>
    </row>
    <row r="466" spans="14:17">
      <c r="N466" s="149"/>
      <c r="O466" s="149"/>
      <c r="P466" s="149"/>
      <c r="Q466" s="149"/>
    </row>
    <row r="467" spans="14:17">
      <c r="N467" s="149"/>
      <c r="O467" s="149"/>
      <c r="P467" s="149"/>
      <c r="Q467" s="149"/>
    </row>
    <row r="468" spans="14:17">
      <c r="N468" s="149"/>
      <c r="O468" s="149"/>
      <c r="P468" s="149"/>
      <c r="Q468" s="149"/>
    </row>
    <row r="469" spans="14:17">
      <c r="N469" s="149"/>
      <c r="O469" s="149"/>
      <c r="P469" s="149"/>
      <c r="Q469" s="149"/>
    </row>
    <row r="470" spans="14:17">
      <c r="N470" s="149"/>
      <c r="O470" s="149"/>
      <c r="P470" s="149"/>
      <c r="Q470" s="149"/>
    </row>
  </sheetData>
  <mergeCells count="19">
    <mergeCell ref="C225:L225"/>
    <mergeCell ref="D7:H7"/>
    <mergeCell ref="D8:G8"/>
    <mergeCell ref="D58:G58"/>
    <mergeCell ref="D68:D69"/>
    <mergeCell ref="D78:D79"/>
    <mergeCell ref="D102:G102"/>
    <mergeCell ref="D166:G166"/>
    <mergeCell ref="K199:M199"/>
    <mergeCell ref="D211:G211"/>
    <mergeCell ref="C220:L220"/>
    <mergeCell ref="C223:L223"/>
    <mergeCell ref="C246:L246"/>
    <mergeCell ref="C227:L227"/>
    <mergeCell ref="C228:L228"/>
    <mergeCell ref="C232:L232"/>
    <mergeCell ref="C233:L233"/>
    <mergeCell ref="C234:L234"/>
    <mergeCell ref="C239:L239"/>
  </mergeCells>
  <pageMargins left="0.52" right="0.25" top="0.77" bottom="0.75" header="0.5" footer="0.5"/>
  <pageSetup scale="42" fitToHeight="0" orientation="landscape" r:id="rId1"/>
  <headerFooter alignWithMargins="0">
    <oddHeader xml:space="preserve">&amp;R&amp;"Times New Roman,Regular"
</oddHeader>
  </headerFooter>
  <rowBreaks count="4" manualBreakCount="4">
    <brk id="48" max="17" man="1"/>
    <brk id="97" max="16383" man="1"/>
    <brk id="157" max="17" man="1"/>
    <brk id="202" max="17" man="1"/>
  </rowBreaks>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4C1B8-6D41-4CD6-903F-AA3F56AEFA6B}">
  <sheetPr>
    <tabColor rgb="FF92D050"/>
  </sheetPr>
  <dimension ref="A1:T178"/>
  <sheetViews>
    <sheetView view="pageBreakPreview" topLeftCell="A32" zoomScale="70" zoomScaleNormal="100" zoomScaleSheetLayoutView="70" workbookViewId="0">
      <selection activeCell="E43" sqref="E43"/>
    </sheetView>
  </sheetViews>
  <sheetFormatPr defaultColWidth="8.81640625" defaultRowHeight="15.6"/>
  <cols>
    <col min="1" max="1" width="5.54296875" style="477" customWidth="1"/>
    <col min="2" max="2" width="31" style="472" customWidth="1"/>
    <col min="3" max="3" width="10.54296875" style="477" bestFit="1" customWidth="1"/>
    <col min="4" max="4" width="9.81640625" style="477" bestFit="1" customWidth="1"/>
    <col min="5" max="5" width="10" style="477" bestFit="1" customWidth="1"/>
    <col min="6" max="6" width="14.81640625" style="477" customWidth="1"/>
    <col min="7" max="7" width="14.81640625" style="477" bestFit="1" customWidth="1"/>
    <col min="8" max="8" width="20.90625" style="477" bestFit="1" customWidth="1"/>
    <col min="9" max="9" width="12" style="577" customWidth="1"/>
    <col min="10" max="10" width="15.81640625" style="577" customWidth="1"/>
    <col min="11" max="11" width="8.81640625" style="577"/>
    <col min="12" max="12" width="12" style="577" customWidth="1"/>
    <col min="13" max="13" width="44.81640625" style="577" customWidth="1"/>
    <col min="14" max="16384" width="8.81640625" style="577"/>
  </cols>
  <sheetData>
    <row r="1" spans="1:20" ht="18" customHeight="1">
      <c r="A1" s="931" t="s">
        <v>736</v>
      </c>
      <c r="B1" s="931"/>
      <c r="C1" s="931"/>
      <c r="D1" s="931"/>
      <c r="E1" s="931"/>
      <c r="F1" s="931"/>
      <c r="G1" s="931"/>
      <c r="H1" s="931"/>
      <c r="I1" s="931"/>
      <c r="J1" s="931"/>
      <c r="K1" s="931"/>
      <c r="L1" s="931"/>
    </row>
    <row r="2" spans="1:20" ht="18" customHeight="1">
      <c r="A2" s="932" t="str">
        <f>+'6a-ADIT Projection'!A2:I2</f>
        <v>Horizon West Transmission, LLC</v>
      </c>
      <c r="B2" s="932"/>
      <c r="C2" s="932"/>
      <c r="D2" s="932"/>
      <c r="E2" s="932"/>
      <c r="F2" s="932"/>
      <c r="G2" s="932"/>
      <c r="H2" s="932"/>
      <c r="I2" s="932"/>
      <c r="J2" s="932"/>
      <c r="K2" s="932"/>
      <c r="L2" s="932"/>
    </row>
    <row r="3" spans="1:20" ht="18" customHeight="1">
      <c r="A3" s="931" t="str">
        <f>'6a-ADIT Projection'!A3</f>
        <v>For the 12 months ended 12/31/2022</v>
      </c>
      <c r="B3" s="931"/>
      <c r="C3" s="931"/>
      <c r="D3" s="931"/>
      <c r="E3" s="931"/>
      <c r="F3" s="931"/>
      <c r="G3" s="931"/>
      <c r="H3" s="943"/>
      <c r="I3" s="931"/>
      <c r="J3" s="931"/>
      <c r="K3" s="931"/>
      <c r="L3" s="931"/>
    </row>
    <row r="4" spans="1:20" ht="17.399999999999999">
      <c r="I4" s="579"/>
      <c r="J4" s="579"/>
    </row>
    <row r="5" spans="1:20">
      <c r="D5" s="577"/>
      <c r="E5" s="577"/>
      <c r="F5" s="577"/>
      <c r="G5" s="577"/>
      <c r="H5" s="577"/>
      <c r="J5" s="477"/>
      <c r="T5" s="578"/>
    </row>
    <row r="6" spans="1:20">
      <c r="B6" s="476" t="s">
        <v>174</v>
      </c>
      <c r="C6" s="476" t="s">
        <v>370</v>
      </c>
      <c r="D6" s="476" t="s">
        <v>713</v>
      </c>
      <c r="E6" s="476" t="s">
        <v>714</v>
      </c>
      <c r="F6" s="476" t="s">
        <v>715</v>
      </c>
      <c r="G6" s="476" t="s">
        <v>716</v>
      </c>
      <c r="H6" s="476" t="s">
        <v>717</v>
      </c>
      <c r="I6" s="578" t="s">
        <v>737</v>
      </c>
      <c r="J6" s="578" t="s">
        <v>738</v>
      </c>
      <c r="K6" s="578" t="s">
        <v>739</v>
      </c>
      <c r="L6" s="578" t="s">
        <v>740</v>
      </c>
    </row>
    <row r="7" spans="1:20" ht="31.2">
      <c r="A7" s="590"/>
      <c r="B7" s="591" t="s">
        <v>718</v>
      </c>
      <c r="C7" s="591" t="s">
        <v>719</v>
      </c>
      <c r="D7" s="591" t="s">
        <v>294</v>
      </c>
      <c r="E7" s="591" t="s">
        <v>741</v>
      </c>
      <c r="F7" s="591" t="s">
        <v>742</v>
      </c>
      <c r="G7" s="591" t="s">
        <v>58</v>
      </c>
      <c r="H7" s="591" t="s">
        <v>743</v>
      </c>
      <c r="I7" s="591" t="s">
        <v>696</v>
      </c>
      <c r="J7" s="591" t="s">
        <v>744</v>
      </c>
      <c r="K7" s="591" t="s">
        <v>697</v>
      </c>
      <c r="L7" s="591" t="s">
        <v>745</v>
      </c>
      <c r="T7" s="578"/>
    </row>
    <row r="8" spans="1:20">
      <c r="A8" s="477" t="s">
        <v>746</v>
      </c>
      <c r="D8" s="476"/>
      <c r="E8" s="476"/>
      <c r="F8" s="476"/>
      <c r="G8" s="476"/>
      <c r="L8" s="596"/>
      <c r="T8" s="578"/>
    </row>
    <row r="9" spans="1:20" ht="20.25" customHeight="1">
      <c r="A9" s="584">
        <v>1</v>
      </c>
      <c r="B9" s="472" t="s">
        <v>747</v>
      </c>
      <c r="C9" s="477" t="s">
        <v>296</v>
      </c>
      <c r="D9" s="592">
        <v>2021</v>
      </c>
      <c r="E9" s="597">
        <f>365/365</f>
        <v>1</v>
      </c>
      <c r="F9" s="151">
        <v>-1146536.27</v>
      </c>
      <c r="G9" s="27">
        <f>+F9</f>
        <v>-1146536.27</v>
      </c>
      <c r="H9" s="480">
        <f>+E9*G9</f>
        <v>-1146536.27</v>
      </c>
      <c r="I9" s="598">
        <f>'6c- ADIT BOY'!F54</f>
        <v>0</v>
      </c>
      <c r="J9" s="594">
        <f t="shared" ref="J9:J21" si="0">I9*E9</f>
        <v>0</v>
      </c>
      <c r="K9" s="598">
        <f>'6c- ADIT BOY'!G54</f>
        <v>0</v>
      </c>
      <c r="L9" s="594">
        <f t="shared" ref="L9:L21" si="1">E9*K9</f>
        <v>0</v>
      </c>
    </row>
    <row r="10" spans="1:20" ht="20.25" customHeight="1">
      <c r="A10" s="584">
        <f t="shared" ref="A10:A22" si="2">+A9+1</f>
        <v>2</v>
      </c>
      <c r="B10" s="472" t="s">
        <v>748</v>
      </c>
      <c r="C10" s="477" t="s">
        <v>298</v>
      </c>
      <c r="D10" s="592">
        <v>2022</v>
      </c>
      <c r="E10" s="597">
        <f>335/365</f>
        <v>0.9178082191780822</v>
      </c>
      <c r="F10" s="177">
        <v>-83469.238772618672</v>
      </c>
      <c r="G10" s="527">
        <f>+F10</f>
        <v>-83469.238772618672</v>
      </c>
      <c r="H10" s="480">
        <f>+E10*G10</f>
        <v>-76608.753394047279</v>
      </c>
      <c r="I10" s="599">
        <v>0</v>
      </c>
      <c r="J10" s="594">
        <f t="shared" si="0"/>
        <v>0</v>
      </c>
      <c r="K10" s="599">
        <v>0</v>
      </c>
      <c r="L10" s="594">
        <f t="shared" si="1"/>
        <v>0</v>
      </c>
    </row>
    <row r="11" spans="1:20" ht="20.25" customHeight="1">
      <c r="A11" s="584">
        <f t="shared" si="2"/>
        <v>3</v>
      </c>
      <c r="B11" s="472" t="s">
        <v>748</v>
      </c>
      <c r="C11" s="477" t="s">
        <v>300</v>
      </c>
      <c r="D11" s="592">
        <f>D10</f>
        <v>2022</v>
      </c>
      <c r="E11" s="597">
        <f>307/365</f>
        <v>0.84109589041095889</v>
      </c>
      <c r="F11" s="177">
        <v>-83469.238772618672</v>
      </c>
      <c r="G11" s="527">
        <f t="shared" ref="G11:G21" si="3">+F11</f>
        <v>-83469.238772618672</v>
      </c>
      <c r="H11" s="480">
        <f>+E11*G11</f>
        <v>-70205.633707380635</v>
      </c>
      <c r="I11" s="599">
        <v>0</v>
      </c>
      <c r="J11" s="594">
        <f t="shared" si="0"/>
        <v>0</v>
      </c>
      <c r="K11" s="599">
        <v>0</v>
      </c>
      <c r="L11" s="594">
        <f t="shared" si="1"/>
        <v>0</v>
      </c>
    </row>
    <row r="12" spans="1:20" ht="20.25" customHeight="1">
      <c r="A12" s="584">
        <f t="shared" si="2"/>
        <v>4</v>
      </c>
      <c r="B12" s="472" t="s">
        <v>748</v>
      </c>
      <c r="C12" s="477" t="s">
        <v>301</v>
      </c>
      <c r="D12" s="592">
        <f t="shared" ref="D12:D21" si="4">D11</f>
        <v>2022</v>
      </c>
      <c r="E12" s="597">
        <f>276/365</f>
        <v>0.75616438356164384</v>
      </c>
      <c r="F12" s="177">
        <v>-83469.238772618672</v>
      </c>
      <c r="G12" s="527">
        <f t="shared" si="3"/>
        <v>-83469.238772618672</v>
      </c>
      <c r="H12" s="480">
        <f t="shared" ref="H12:H21" si="5">+E12*G12</f>
        <v>-63116.46548285686</v>
      </c>
      <c r="I12" s="599">
        <v>0</v>
      </c>
      <c r="J12" s="594">
        <f t="shared" si="0"/>
        <v>0</v>
      </c>
      <c r="K12" s="599">
        <v>0</v>
      </c>
      <c r="L12" s="594">
        <f t="shared" si="1"/>
        <v>0</v>
      </c>
    </row>
    <row r="13" spans="1:20" ht="20.25" customHeight="1">
      <c r="A13" s="584">
        <f t="shared" si="2"/>
        <v>5</v>
      </c>
      <c r="B13" s="472" t="s">
        <v>748</v>
      </c>
      <c r="C13" s="477" t="s">
        <v>302</v>
      </c>
      <c r="D13" s="592">
        <f t="shared" si="4"/>
        <v>2022</v>
      </c>
      <c r="E13" s="597">
        <f>246/365</f>
        <v>0.67397260273972603</v>
      </c>
      <c r="F13" s="177">
        <v>-71211.060104085336</v>
      </c>
      <c r="G13" s="527">
        <f t="shared" si="3"/>
        <v>-71211.060104085336</v>
      </c>
      <c r="H13" s="480">
        <f t="shared" si="5"/>
        <v>-47994.30352220546</v>
      </c>
      <c r="I13" s="599">
        <v>0</v>
      </c>
      <c r="J13" s="594">
        <f t="shared" si="0"/>
        <v>0</v>
      </c>
      <c r="K13" s="599">
        <v>0</v>
      </c>
      <c r="L13" s="594">
        <f t="shared" si="1"/>
        <v>0</v>
      </c>
    </row>
    <row r="14" spans="1:20" ht="20.25" customHeight="1">
      <c r="A14" s="584">
        <f t="shared" si="2"/>
        <v>6</v>
      </c>
      <c r="B14" s="472" t="s">
        <v>748</v>
      </c>
      <c r="C14" s="477" t="s">
        <v>303</v>
      </c>
      <c r="D14" s="592">
        <f t="shared" si="4"/>
        <v>2022</v>
      </c>
      <c r="E14" s="597">
        <f>215/365</f>
        <v>0.58904109589041098</v>
      </c>
      <c r="F14" s="177">
        <v>-71211.060104085336</v>
      </c>
      <c r="G14" s="527">
        <f t="shared" si="3"/>
        <v>-71211.060104085336</v>
      </c>
      <c r="H14" s="480">
        <f t="shared" si="5"/>
        <v>-41946.240883228347</v>
      </c>
      <c r="I14" s="599">
        <v>0</v>
      </c>
      <c r="J14" s="594">
        <f t="shared" si="0"/>
        <v>0</v>
      </c>
      <c r="K14" s="599">
        <v>0</v>
      </c>
      <c r="L14" s="594">
        <f t="shared" si="1"/>
        <v>0</v>
      </c>
    </row>
    <row r="15" spans="1:20" ht="20.25" customHeight="1">
      <c r="A15" s="584">
        <f t="shared" si="2"/>
        <v>7</v>
      </c>
      <c r="B15" s="472" t="s">
        <v>748</v>
      </c>
      <c r="C15" s="477" t="s">
        <v>469</v>
      </c>
      <c r="D15" s="592">
        <f t="shared" si="4"/>
        <v>2022</v>
      </c>
      <c r="E15" s="597">
        <f>185/365</f>
        <v>0.50684931506849318</v>
      </c>
      <c r="F15" s="177">
        <v>-71211.060104085336</v>
      </c>
      <c r="G15" s="527">
        <f t="shared" si="3"/>
        <v>-71211.060104085336</v>
      </c>
      <c r="H15" s="480">
        <f t="shared" si="5"/>
        <v>-36093.277039056957</v>
      </c>
      <c r="I15" s="599">
        <v>0</v>
      </c>
      <c r="J15" s="594">
        <f t="shared" si="0"/>
        <v>0</v>
      </c>
      <c r="K15" s="599">
        <v>0</v>
      </c>
      <c r="L15" s="594">
        <f t="shared" si="1"/>
        <v>0</v>
      </c>
    </row>
    <row r="16" spans="1:20" ht="20.25" customHeight="1">
      <c r="A16" s="584">
        <f t="shared" si="2"/>
        <v>8</v>
      </c>
      <c r="B16" s="472" t="s">
        <v>748</v>
      </c>
      <c r="C16" s="477" t="s">
        <v>305</v>
      </c>
      <c r="D16" s="592">
        <f t="shared" si="4"/>
        <v>2022</v>
      </c>
      <c r="E16" s="597">
        <f>154/365</f>
        <v>0.42191780821917807</v>
      </c>
      <c r="F16" s="177">
        <v>-71211.060104085336</v>
      </c>
      <c r="G16" s="527">
        <f t="shared" si="3"/>
        <v>-71211.060104085336</v>
      </c>
      <c r="H16" s="480">
        <f t="shared" si="5"/>
        <v>-30045.21440007984</v>
      </c>
      <c r="I16" s="599">
        <v>0</v>
      </c>
      <c r="J16" s="594">
        <f t="shared" si="0"/>
        <v>0</v>
      </c>
      <c r="K16" s="599">
        <v>0</v>
      </c>
      <c r="L16" s="594">
        <f t="shared" si="1"/>
        <v>0</v>
      </c>
    </row>
    <row r="17" spans="1:20" ht="20.25" customHeight="1">
      <c r="A17" s="584">
        <f t="shared" si="2"/>
        <v>9</v>
      </c>
      <c r="B17" s="472" t="s">
        <v>748</v>
      </c>
      <c r="C17" s="477" t="s">
        <v>306</v>
      </c>
      <c r="D17" s="592">
        <f t="shared" si="4"/>
        <v>2022</v>
      </c>
      <c r="E17" s="597">
        <f>123/365</f>
        <v>0.33698630136986302</v>
      </c>
      <c r="F17" s="177">
        <v>-71211.060104085336</v>
      </c>
      <c r="G17" s="527">
        <f t="shared" si="3"/>
        <v>-71211.060104085336</v>
      </c>
      <c r="H17" s="480">
        <f t="shared" si="5"/>
        <v>-23997.15176110273</v>
      </c>
      <c r="I17" s="599">
        <v>0</v>
      </c>
      <c r="J17" s="594">
        <f t="shared" si="0"/>
        <v>0</v>
      </c>
      <c r="K17" s="599">
        <v>0</v>
      </c>
      <c r="L17" s="594">
        <f t="shared" si="1"/>
        <v>0</v>
      </c>
    </row>
    <row r="18" spans="1:20" ht="20.25" customHeight="1">
      <c r="A18" s="584">
        <f t="shared" si="2"/>
        <v>10</v>
      </c>
      <c r="B18" s="472" t="s">
        <v>748</v>
      </c>
      <c r="C18" s="477" t="s">
        <v>307</v>
      </c>
      <c r="D18" s="592">
        <f t="shared" si="4"/>
        <v>2022</v>
      </c>
      <c r="E18" s="597">
        <f>93/365</f>
        <v>0.25479452054794521</v>
      </c>
      <c r="F18" s="177">
        <v>-71211.060104085336</v>
      </c>
      <c r="G18" s="527">
        <f t="shared" si="3"/>
        <v>-71211.060104085336</v>
      </c>
      <c r="H18" s="480">
        <f t="shared" si="5"/>
        <v>-18144.187916931332</v>
      </c>
      <c r="I18" s="599">
        <v>0</v>
      </c>
      <c r="J18" s="594">
        <f t="shared" si="0"/>
        <v>0</v>
      </c>
      <c r="K18" s="599">
        <v>0</v>
      </c>
      <c r="L18" s="594">
        <f t="shared" si="1"/>
        <v>0</v>
      </c>
    </row>
    <row r="19" spans="1:20" ht="20.25" customHeight="1">
      <c r="A19" s="584">
        <f t="shared" si="2"/>
        <v>11</v>
      </c>
      <c r="B19" s="472" t="s">
        <v>748</v>
      </c>
      <c r="C19" s="477" t="s">
        <v>314</v>
      </c>
      <c r="D19" s="592">
        <f t="shared" si="4"/>
        <v>2022</v>
      </c>
      <c r="E19" s="597">
        <f>62/365</f>
        <v>0.16986301369863013</v>
      </c>
      <c r="F19" s="177">
        <v>-71211.060104085336</v>
      </c>
      <c r="G19" s="527">
        <f t="shared" si="3"/>
        <v>-71211.060104085336</v>
      </c>
      <c r="H19" s="480">
        <f t="shared" si="5"/>
        <v>-12096.125277954221</v>
      </c>
      <c r="I19" s="599">
        <v>0</v>
      </c>
      <c r="J19" s="594">
        <f t="shared" si="0"/>
        <v>0</v>
      </c>
      <c r="K19" s="599">
        <v>0</v>
      </c>
      <c r="L19" s="594">
        <f t="shared" si="1"/>
        <v>0</v>
      </c>
    </row>
    <row r="20" spans="1:20" ht="20.25" customHeight="1">
      <c r="A20" s="584">
        <f t="shared" si="2"/>
        <v>12</v>
      </c>
      <c r="B20" s="472" t="s">
        <v>748</v>
      </c>
      <c r="C20" s="477" t="s">
        <v>309</v>
      </c>
      <c r="D20" s="592">
        <f t="shared" si="4"/>
        <v>2022</v>
      </c>
      <c r="E20" s="597">
        <f>32/365</f>
        <v>8.7671232876712329E-2</v>
      </c>
      <c r="F20" s="177">
        <v>-71211.060104085336</v>
      </c>
      <c r="G20" s="527">
        <f t="shared" si="3"/>
        <v>-71211.060104085336</v>
      </c>
      <c r="H20" s="480">
        <f t="shared" si="5"/>
        <v>-6243.1614337828241</v>
      </c>
      <c r="I20" s="599">
        <v>0</v>
      </c>
      <c r="J20" s="594">
        <f t="shared" si="0"/>
        <v>0</v>
      </c>
      <c r="K20" s="599">
        <v>0</v>
      </c>
      <c r="L20" s="594">
        <f t="shared" si="1"/>
        <v>0</v>
      </c>
    </row>
    <row r="21" spans="1:20" ht="20.25" customHeight="1">
      <c r="A21" s="584">
        <f t="shared" si="2"/>
        <v>13</v>
      </c>
      <c r="B21" s="472" t="s">
        <v>748</v>
      </c>
      <c r="C21" s="477" t="s">
        <v>296</v>
      </c>
      <c r="D21" s="592">
        <f t="shared" si="4"/>
        <v>2022</v>
      </c>
      <c r="E21" s="597">
        <f>1/365</f>
        <v>2.7397260273972603E-3</v>
      </c>
      <c r="F21" s="177">
        <v>-71211.060104085336</v>
      </c>
      <c r="G21" s="527">
        <f t="shared" si="3"/>
        <v>-71211.060104085336</v>
      </c>
      <c r="H21" s="480">
        <f t="shared" si="5"/>
        <v>-195.09879480571325</v>
      </c>
      <c r="I21" s="599">
        <v>0</v>
      </c>
      <c r="J21" s="594">
        <f t="shared" si="0"/>
        <v>0</v>
      </c>
      <c r="K21" s="599">
        <v>0</v>
      </c>
      <c r="L21" s="594">
        <f t="shared" si="1"/>
        <v>0</v>
      </c>
    </row>
    <row r="22" spans="1:20" ht="20.25" customHeight="1">
      <c r="A22" s="584">
        <f t="shared" si="2"/>
        <v>14</v>
      </c>
      <c r="B22" s="472" t="s">
        <v>749</v>
      </c>
      <c r="F22" s="480">
        <f>SUM(F9:F21)</f>
        <v>-2037843.5272546241</v>
      </c>
      <c r="G22" s="480">
        <f t="shared" ref="G22:L22" si="6">SUM(G9:G21)</f>
        <v>-2037843.5272546241</v>
      </c>
      <c r="H22" s="480">
        <f>SUM(H9:H21)</f>
        <v>-1573221.8836134321</v>
      </c>
      <c r="I22" s="594">
        <f t="shared" si="6"/>
        <v>0</v>
      </c>
      <c r="J22" s="594">
        <f t="shared" si="6"/>
        <v>0</v>
      </c>
      <c r="K22" s="594">
        <f t="shared" si="6"/>
        <v>0</v>
      </c>
      <c r="L22" s="594">
        <f t="shared" si="6"/>
        <v>0</v>
      </c>
    </row>
    <row r="23" spans="1:20">
      <c r="A23" s="584"/>
      <c r="F23" s="480"/>
    </row>
    <row r="24" spans="1:20">
      <c r="A24" s="477" t="s">
        <v>750</v>
      </c>
      <c r="D24" s="476"/>
      <c r="E24" s="476"/>
      <c r="F24" s="476"/>
      <c r="G24" s="600"/>
      <c r="T24" s="578"/>
    </row>
    <row r="25" spans="1:20" ht="20.25" customHeight="1">
      <c r="A25" s="584">
        <f>A22+1</f>
        <v>15</v>
      </c>
      <c r="B25" s="472" t="s">
        <v>751</v>
      </c>
      <c r="C25" s="477" t="s">
        <v>296</v>
      </c>
      <c r="D25" s="592">
        <f>D9</f>
        <v>2021</v>
      </c>
      <c r="E25" s="597">
        <f>365/365</f>
        <v>1</v>
      </c>
      <c r="F25" s="151">
        <v>-3797691.35</v>
      </c>
      <c r="G25" s="151">
        <f>+F25</f>
        <v>-3797691.35</v>
      </c>
      <c r="H25" s="587">
        <f t="shared" ref="H25" si="7">E25*G25</f>
        <v>-3797691.35</v>
      </c>
      <c r="I25" s="598">
        <f>'6c- ADIT BOY'!F78</f>
        <v>0</v>
      </c>
      <c r="J25" s="594">
        <f t="shared" ref="J25:J37" si="8">I25*E25</f>
        <v>0</v>
      </c>
      <c r="K25" s="598">
        <f>'6c- ADIT BOY'!G78</f>
        <v>0</v>
      </c>
      <c r="L25" s="594">
        <f t="shared" ref="L25:L37" si="9">E25*K25</f>
        <v>0</v>
      </c>
    </row>
    <row r="26" spans="1:20" ht="20.25" customHeight="1">
      <c r="A26" s="584">
        <f t="shared" ref="A26:A38" si="10">+A25+1</f>
        <v>16</v>
      </c>
      <c r="B26" s="472" t="s">
        <v>748</v>
      </c>
      <c r="C26" s="477" t="s">
        <v>298</v>
      </c>
      <c r="D26" s="592">
        <f t="shared" ref="D26:D37" si="11">D10</f>
        <v>2022</v>
      </c>
      <c r="E26" s="597">
        <f>335/365</f>
        <v>0.9178082191780822</v>
      </c>
      <c r="F26" s="177">
        <v>23266.49</v>
      </c>
      <c r="G26" s="527">
        <f>+F26</f>
        <v>23266.49</v>
      </c>
      <c r="H26" s="480"/>
      <c r="I26" s="599">
        <v>0</v>
      </c>
      <c r="J26" s="594">
        <f t="shared" si="8"/>
        <v>0</v>
      </c>
      <c r="K26" s="599">
        <v>0</v>
      </c>
      <c r="L26" s="594">
        <f t="shared" si="9"/>
        <v>0</v>
      </c>
    </row>
    <row r="27" spans="1:20" ht="20.25" customHeight="1">
      <c r="A27" s="584">
        <f t="shared" si="10"/>
        <v>17</v>
      </c>
      <c r="B27" s="472" t="s">
        <v>748</v>
      </c>
      <c r="C27" s="477" t="s">
        <v>300</v>
      </c>
      <c r="D27" s="592">
        <f t="shared" si="11"/>
        <v>2022</v>
      </c>
      <c r="E27" s="597">
        <f>307/365</f>
        <v>0.84109589041095889</v>
      </c>
      <c r="F27" s="177">
        <v>23266.49</v>
      </c>
      <c r="G27" s="527">
        <f t="shared" ref="G27:G36" si="12">+F27</f>
        <v>23266.49</v>
      </c>
      <c r="H27" s="480"/>
      <c r="I27" s="599">
        <v>0</v>
      </c>
      <c r="J27" s="594">
        <f t="shared" si="8"/>
        <v>0</v>
      </c>
      <c r="K27" s="599">
        <v>0</v>
      </c>
      <c r="L27" s="594">
        <f t="shared" si="9"/>
        <v>0</v>
      </c>
    </row>
    <row r="28" spans="1:20" ht="20.25" customHeight="1">
      <c r="A28" s="584">
        <f t="shared" si="10"/>
        <v>18</v>
      </c>
      <c r="B28" s="472" t="s">
        <v>748</v>
      </c>
      <c r="C28" s="477" t="s">
        <v>301</v>
      </c>
      <c r="D28" s="592">
        <f t="shared" si="11"/>
        <v>2022</v>
      </c>
      <c r="E28" s="597">
        <f>276/365</f>
        <v>0.75616438356164384</v>
      </c>
      <c r="F28" s="177">
        <v>23266.49</v>
      </c>
      <c r="G28" s="527">
        <f t="shared" si="12"/>
        <v>23266.49</v>
      </c>
      <c r="H28" s="480"/>
      <c r="I28" s="599">
        <v>0</v>
      </c>
      <c r="J28" s="594">
        <f t="shared" si="8"/>
        <v>0</v>
      </c>
      <c r="K28" s="599">
        <v>0</v>
      </c>
      <c r="L28" s="594">
        <f t="shared" si="9"/>
        <v>0</v>
      </c>
    </row>
    <row r="29" spans="1:20" ht="20.25" customHeight="1">
      <c r="A29" s="584">
        <f t="shared" si="10"/>
        <v>19</v>
      </c>
      <c r="B29" s="472" t="s">
        <v>748</v>
      </c>
      <c r="C29" s="477" t="s">
        <v>302</v>
      </c>
      <c r="D29" s="592">
        <f t="shared" si="11"/>
        <v>2022</v>
      </c>
      <c r="E29" s="597">
        <f>246/365</f>
        <v>0.67397260273972603</v>
      </c>
      <c r="F29" s="177">
        <v>23266.49</v>
      </c>
      <c r="G29" s="527">
        <f t="shared" si="12"/>
        <v>23266.49</v>
      </c>
      <c r="H29" s="480"/>
      <c r="I29" s="599">
        <v>0</v>
      </c>
      <c r="J29" s="594">
        <f t="shared" si="8"/>
        <v>0</v>
      </c>
      <c r="K29" s="599">
        <v>0</v>
      </c>
      <c r="L29" s="594">
        <f t="shared" si="9"/>
        <v>0</v>
      </c>
    </row>
    <row r="30" spans="1:20" ht="20.25" customHeight="1">
      <c r="A30" s="584">
        <f t="shared" si="10"/>
        <v>20</v>
      </c>
      <c r="B30" s="472" t="s">
        <v>748</v>
      </c>
      <c r="C30" s="477" t="s">
        <v>303</v>
      </c>
      <c r="D30" s="592">
        <f t="shared" si="11"/>
        <v>2022</v>
      </c>
      <c r="E30" s="597">
        <f>215/365</f>
        <v>0.58904109589041098</v>
      </c>
      <c r="F30" s="177">
        <v>23266.49</v>
      </c>
      <c r="G30" s="527">
        <f t="shared" si="12"/>
        <v>23266.49</v>
      </c>
      <c r="H30" s="480"/>
      <c r="I30" s="599">
        <v>0</v>
      </c>
      <c r="J30" s="594">
        <f t="shared" si="8"/>
        <v>0</v>
      </c>
      <c r="K30" s="599">
        <v>0</v>
      </c>
      <c r="L30" s="594">
        <f t="shared" si="9"/>
        <v>0</v>
      </c>
    </row>
    <row r="31" spans="1:20" ht="20.25" customHeight="1">
      <c r="A31" s="584">
        <f t="shared" si="10"/>
        <v>21</v>
      </c>
      <c r="B31" s="472" t="s">
        <v>748</v>
      </c>
      <c r="C31" s="477" t="s">
        <v>469</v>
      </c>
      <c r="D31" s="592">
        <f t="shared" si="11"/>
        <v>2022</v>
      </c>
      <c r="E31" s="597">
        <f>185/365</f>
        <v>0.50684931506849318</v>
      </c>
      <c r="F31" s="177">
        <v>23266.49</v>
      </c>
      <c r="G31" s="527">
        <f t="shared" si="12"/>
        <v>23266.49</v>
      </c>
      <c r="H31" s="480"/>
      <c r="I31" s="599">
        <v>0</v>
      </c>
      <c r="J31" s="594">
        <f t="shared" si="8"/>
        <v>0</v>
      </c>
      <c r="K31" s="599">
        <v>0</v>
      </c>
      <c r="L31" s="594">
        <f t="shared" si="9"/>
        <v>0</v>
      </c>
    </row>
    <row r="32" spans="1:20" ht="20.25" customHeight="1">
      <c r="A32" s="584">
        <f t="shared" si="10"/>
        <v>22</v>
      </c>
      <c r="B32" s="472" t="s">
        <v>748</v>
      </c>
      <c r="C32" s="477" t="s">
        <v>305</v>
      </c>
      <c r="D32" s="592">
        <f t="shared" si="11"/>
        <v>2022</v>
      </c>
      <c r="E32" s="597">
        <f>154/365</f>
        <v>0.42191780821917807</v>
      </c>
      <c r="F32" s="177">
        <v>23266.49</v>
      </c>
      <c r="G32" s="527">
        <f t="shared" si="12"/>
        <v>23266.49</v>
      </c>
      <c r="H32" s="480"/>
      <c r="I32" s="599">
        <v>0</v>
      </c>
      <c r="J32" s="594">
        <f t="shared" si="8"/>
        <v>0</v>
      </c>
      <c r="K32" s="599">
        <v>0</v>
      </c>
      <c r="L32" s="594">
        <f t="shared" si="9"/>
        <v>0</v>
      </c>
    </row>
    <row r="33" spans="1:20" ht="20.25" customHeight="1">
      <c r="A33" s="584">
        <f t="shared" si="10"/>
        <v>23</v>
      </c>
      <c r="B33" s="472" t="s">
        <v>748</v>
      </c>
      <c r="C33" s="477" t="s">
        <v>306</v>
      </c>
      <c r="D33" s="592">
        <f t="shared" si="11"/>
        <v>2022</v>
      </c>
      <c r="E33" s="597">
        <f>123/365</f>
        <v>0.33698630136986302</v>
      </c>
      <c r="F33" s="177">
        <v>23266.49</v>
      </c>
      <c r="G33" s="527">
        <f t="shared" si="12"/>
        <v>23266.49</v>
      </c>
      <c r="H33" s="480"/>
      <c r="I33" s="599">
        <v>0</v>
      </c>
      <c r="J33" s="594">
        <f t="shared" si="8"/>
        <v>0</v>
      </c>
      <c r="K33" s="599">
        <v>0</v>
      </c>
      <c r="L33" s="594">
        <f t="shared" si="9"/>
        <v>0</v>
      </c>
    </row>
    <row r="34" spans="1:20" ht="20.25" customHeight="1">
      <c r="A34" s="584">
        <f t="shared" si="10"/>
        <v>24</v>
      </c>
      <c r="B34" s="472" t="s">
        <v>748</v>
      </c>
      <c r="C34" s="477" t="s">
        <v>307</v>
      </c>
      <c r="D34" s="592">
        <f t="shared" si="11"/>
        <v>2022</v>
      </c>
      <c r="E34" s="597">
        <f>93/365</f>
        <v>0.25479452054794521</v>
      </c>
      <c r="F34" s="177">
        <v>23266.49</v>
      </c>
      <c r="G34" s="527">
        <f t="shared" si="12"/>
        <v>23266.49</v>
      </c>
      <c r="H34" s="480"/>
      <c r="I34" s="599">
        <v>0</v>
      </c>
      <c r="J34" s="594">
        <f t="shared" si="8"/>
        <v>0</v>
      </c>
      <c r="K34" s="599">
        <v>0</v>
      </c>
      <c r="L34" s="594">
        <f t="shared" si="9"/>
        <v>0</v>
      </c>
    </row>
    <row r="35" spans="1:20" ht="20.25" customHeight="1">
      <c r="A35" s="584">
        <f t="shared" si="10"/>
        <v>25</v>
      </c>
      <c r="B35" s="472" t="s">
        <v>748</v>
      </c>
      <c r="C35" s="477" t="s">
        <v>314</v>
      </c>
      <c r="D35" s="592">
        <f t="shared" si="11"/>
        <v>2022</v>
      </c>
      <c r="E35" s="597">
        <f>62/365</f>
        <v>0.16986301369863013</v>
      </c>
      <c r="F35" s="177">
        <v>23266.49</v>
      </c>
      <c r="G35" s="527">
        <f t="shared" si="12"/>
        <v>23266.49</v>
      </c>
      <c r="H35" s="480"/>
      <c r="I35" s="599">
        <v>0</v>
      </c>
      <c r="J35" s="594">
        <f t="shared" si="8"/>
        <v>0</v>
      </c>
      <c r="K35" s="599">
        <v>0</v>
      </c>
      <c r="L35" s="594">
        <f t="shared" si="9"/>
        <v>0</v>
      </c>
    </row>
    <row r="36" spans="1:20" ht="20.25" customHeight="1">
      <c r="A36" s="584">
        <f t="shared" si="10"/>
        <v>26</v>
      </c>
      <c r="B36" s="472" t="s">
        <v>748</v>
      </c>
      <c r="C36" s="477" t="s">
        <v>309</v>
      </c>
      <c r="D36" s="592">
        <f t="shared" si="11"/>
        <v>2022</v>
      </c>
      <c r="E36" s="597">
        <f>32/365</f>
        <v>8.7671232876712329E-2</v>
      </c>
      <c r="F36" s="177">
        <v>23266.49</v>
      </c>
      <c r="G36" s="527">
        <f t="shared" si="12"/>
        <v>23266.49</v>
      </c>
      <c r="H36" s="480"/>
      <c r="I36" s="599">
        <v>0</v>
      </c>
      <c r="J36" s="594">
        <f t="shared" si="8"/>
        <v>0</v>
      </c>
      <c r="K36" s="599">
        <v>0</v>
      </c>
      <c r="L36" s="594">
        <f t="shared" si="9"/>
        <v>0</v>
      </c>
    </row>
    <row r="37" spans="1:20" ht="20.25" customHeight="1">
      <c r="A37" s="584">
        <f t="shared" si="10"/>
        <v>27</v>
      </c>
      <c r="B37" s="472" t="s">
        <v>748</v>
      </c>
      <c r="C37" s="477" t="s">
        <v>296</v>
      </c>
      <c r="D37" s="592">
        <f t="shared" si="11"/>
        <v>2022</v>
      </c>
      <c r="E37" s="597">
        <f>1/365</f>
        <v>2.7397260273972603E-3</v>
      </c>
      <c r="F37" s="177">
        <v>23266.49</v>
      </c>
      <c r="G37" s="527">
        <f>+F37</f>
        <v>23266.49</v>
      </c>
      <c r="H37" s="480"/>
      <c r="I37" s="599">
        <v>0</v>
      </c>
      <c r="J37" s="594">
        <f t="shared" si="8"/>
        <v>0</v>
      </c>
      <c r="K37" s="599">
        <v>0</v>
      </c>
      <c r="L37" s="594">
        <f t="shared" si="9"/>
        <v>0</v>
      </c>
    </row>
    <row r="38" spans="1:20" ht="20.25" customHeight="1">
      <c r="A38" s="584">
        <f t="shared" si="10"/>
        <v>28</v>
      </c>
      <c r="B38" s="472" t="s">
        <v>752</v>
      </c>
      <c r="F38" s="587">
        <f t="shared" ref="F38:L38" si="13">SUM(F25:F37)</f>
        <v>-3518493.4699999974</v>
      </c>
      <c r="G38" s="587">
        <f t="shared" si="13"/>
        <v>-3518493.4699999974</v>
      </c>
      <c r="H38" s="587">
        <f t="shared" si="13"/>
        <v>-3797691.35</v>
      </c>
      <c r="I38" s="594">
        <f t="shared" si="13"/>
        <v>0</v>
      </c>
      <c r="J38" s="594">
        <f t="shared" si="13"/>
        <v>0</v>
      </c>
      <c r="K38" s="594">
        <f t="shared" si="13"/>
        <v>0</v>
      </c>
      <c r="L38" s="594">
        <f t="shared" si="13"/>
        <v>0</v>
      </c>
    </row>
    <row r="39" spans="1:20">
      <c r="A39" s="584"/>
      <c r="F39" s="587"/>
      <c r="G39" s="587"/>
      <c r="I39" s="594"/>
      <c r="J39" s="594"/>
      <c r="K39" s="594"/>
      <c r="L39" s="594"/>
    </row>
    <row r="40" spans="1:20">
      <c r="A40" s="477" t="s">
        <v>753</v>
      </c>
      <c r="D40" s="476"/>
      <c r="E40" s="476"/>
      <c r="F40" s="476"/>
      <c r="G40" s="476"/>
      <c r="T40" s="578"/>
    </row>
    <row r="41" spans="1:20" ht="20.25" customHeight="1">
      <c r="A41" s="584">
        <f>A38+1</f>
        <v>29</v>
      </c>
      <c r="B41" s="472" t="s">
        <v>754</v>
      </c>
      <c r="C41" s="477" t="s">
        <v>296</v>
      </c>
      <c r="D41" s="592">
        <f>D25</f>
        <v>2021</v>
      </c>
      <c r="E41" s="597">
        <f>365/365</f>
        <v>1</v>
      </c>
      <c r="F41" s="151">
        <f>'6c- ADIT BOY'!C28</f>
        <v>0</v>
      </c>
      <c r="G41" s="151">
        <f>'6c- ADIT BOY'!E28</f>
        <v>0</v>
      </c>
      <c r="H41" s="587">
        <f t="shared" ref="H41:H53" si="14">E41*G41</f>
        <v>0</v>
      </c>
      <c r="I41" s="598">
        <f>'6c- ADIT BOY'!F32</f>
        <v>0</v>
      </c>
      <c r="J41" s="594">
        <f t="shared" ref="J41:J53" si="15">I41*E41</f>
        <v>0</v>
      </c>
      <c r="K41" s="598">
        <f>'6c- ADIT BOY'!G32</f>
        <v>0</v>
      </c>
      <c r="L41" s="594">
        <f t="shared" ref="L41:L53" si="16">E41*K41</f>
        <v>0</v>
      </c>
    </row>
    <row r="42" spans="1:20" ht="20.25" customHeight="1">
      <c r="A42" s="584">
        <f t="shared" ref="A42:A54" si="17">+A41+1</f>
        <v>30</v>
      </c>
      <c r="B42" s="472" t="s">
        <v>748</v>
      </c>
      <c r="C42" s="477" t="s">
        <v>298</v>
      </c>
      <c r="D42" s="592">
        <f t="shared" ref="D42:D53" si="18">D26</f>
        <v>2022</v>
      </c>
      <c r="E42" s="597">
        <f>335/365</f>
        <v>0.9178082191780822</v>
      </c>
      <c r="F42" s="177">
        <v>0</v>
      </c>
      <c r="G42" s="177">
        <v>0</v>
      </c>
      <c r="H42" s="587">
        <f t="shared" si="14"/>
        <v>0</v>
      </c>
      <c r="I42" s="599">
        <v>0</v>
      </c>
      <c r="J42" s="594">
        <f t="shared" si="15"/>
        <v>0</v>
      </c>
      <c r="K42" s="599">
        <v>0</v>
      </c>
      <c r="L42" s="594">
        <f t="shared" si="16"/>
        <v>0</v>
      </c>
    </row>
    <row r="43" spans="1:20" ht="20.25" customHeight="1">
      <c r="A43" s="584">
        <f t="shared" si="17"/>
        <v>31</v>
      </c>
      <c r="B43" s="472" t="s">
        <v>748</v>
      </c>
      <c r="C43" s="477" t="s">
        <v>300</v>
      </c>
      <c r="D43" s="592">
        <f t="shared" si="18"/>
        <v>2022</v>
      </c>
      <c r="E43" s="597">
        <f>307/365</f>
        <v>0.84109589041095889</v>
      </c>
      <c r="F43" s="177">
        <v>0</v>
      </c>
      <c r="G43" s="177">
        <v>0</v>
      </c>
      <c r="H43" s="587">
        <f t="shared" si="14"/>
        <v>0</v>
      </c>
      <c r="I43" s="599">
        <v>0</v>
      </c>
      <c r="J43" s="594">
        <f t="shared" si="15"/>
        <v>0</v>
      </c>
      <c r="K43" s="599">
        <v>0</v>
      </c>
      <c r="L43" s="594">
        <f t="shared" si="16"/>
        <v>0</v>
      </c>
    </row>
    <row r="44" spans="1:20" ht="20.25" customHeight="1">
      <c r="A44" s="584">
        <f t="shared" si="17"/>
        <v>32</v>
      </c>
      <c r="B44" s="472" t="s">
        <v>748</v>
      </c>
      <c r="C44" s="477" t="s">
        <v>301</v>
      </c>
      <c r="D44" s="592">
        <f t="shared" si="18"/>
        <v>2022</v>
      </c>
      <c r="E44" s="597">
        <f>276/365</f>
        <v>0.75616438356164384</v>
      </c>
      <c r="F44" s="177">
        <v>0</v>
      </c>
      <c r="G44" s="177">
        <v>0</v>
      </c>
      <c r="H44" s="587">
        <f t="shared" si="14"/>
        <v>0</v>
      </c>
      <c r="I44" s="599">
        <v>0</v>
      </c>
      <c r="J44" s="594">
        <f t="shared" si="15"/>
        <v>0</v>
      </c>
      <c r="K44" s="599">
        <v>0</v>
      </c>
      <c r="L44" s="594">
        <f t="shared" si="16"/>
        <v>0</v>
      </c>
    </row>
    <row r="45" spans="1:20" ht="20.25" customHeight="1">
      <c r="A45" s="584">
        <f t="shared" si="17"/>
        <v>33</v>
      </c>
      <c r="B45" s="472" t="s">
        <v>748</v>
      </c>
      <c r="C45" s="477" t="s">
        <v>302</v>
      </c>
      <c r="D45" s="592">
        <f t="shared" si="18"/>
        <v>2022</v>
      </c>
      <c r="E45" s="597">
        <f>246/365</f>
        <v>0.67397260273972603</v>
      </c>
      <c r="F45" s="177">
        <v>0</v>
      </c>
      <c r="G45" s="177">
        <v>0</v>
      </c>
      <c r="H45" s="587">
        <f t="shared" si="14"/>
        <v>0</v>
      </c>
      <c r="I45" s="599">
        <v>0</v>
      </c>
      <c r="J45" s="594">
        <f t="shared" si="15"/>
        <v>0</v>
      </c>
      <c r="K45" s="599">
        <v>0</v>
      </c>
      <c r="L45" s="594">
        <f t="shared" si="16"/>
        <v>0</v>
      </c>
    </row>
    <row r="46" spans="1:20" ht="20.25" customHeight="1">
      <c r="A46" s="584">
        <f t="shared" si="17"/>
        <v>34</v>
      </c>
      <c r="B46" s="472" t="s">
        <v>748</v>
      </c>
      <c r="C46" s="477" t="s">
        <v>303</v>
      </c>
      <c r="D46" s="592">
        <f t="shared" si="18"/>
        <v>2022</v>
      </c>
      <c r="E46" s="597">
        <f>215/365</f>
        <v>0.58904109589041098</v>
      </c>
      <c r="F46" s="177">
        <v>0</v>
      </c>
      <c r="G46" s="177">
        <v>0</v>
      </c>
      <c r="H46" s="587">
        <f t="shared" si="14"/>
        <v>0</v>
      </c>
      <c r="I46" s="599">
        <v>0</v>
      </c>
      <c r="J46" s="594">
        <f t="shared" si="15"/>
        <v>0</v>
      </c>
      <c r="K46" s="599">
        <v>0</v>
      </c>
      <c r="L46" s="594">
        <f t="shared" si="16"/>
        <v>0</v>
      </c>
    </row>
    <row r="47" spans="1:20" ht="20.25" customHeight="1">
      <c r="A47" s="584">
        <f t="shared" si="17"/>
        <v>35</v>
      </c>
      <c r="B47" s="472" t="s">
        <v>748</v>
      </c>
      <c r="C47" s="477" t="s">
        <v>469</v>
      </c>
      <c r="D47" s="592">
        <f t="shared" si="18"/>
        <v>2022</v>
      </c>
      <c r="E47" s="597">
        <f>185/365</f>
        <v>0.50684931506849318</v>
      </c>
      <c r="F47" s="177">
        <v>0</v>
      </c>
      <c r="G47" s="177">
        <v>0</v>
      </c>
      <c r="H47" s="587">
        <f t="shared" si="14"/>
        <v>0</v>
      </c>
      <c r="I47" s="599">
        <v>0</v>
      </c>
      <c r="J47" s="594">
        <f t="shared" si="15"/>
        <v>0</v>
      </c>
      <c r="K47" s="599">
        <v>0</v>
      </c>
      <c r="L47" s="594">
        <f t="shared" si="16"/>
        <v>0</v>
      </c>
    </row>
    <row r="48" spans="1:20" ht="20.25" customHeight="1">
      <c r="A48" s="584">
        <f t="shared" si="17"/>
        <v>36</v>
      </c>
      <c r="B48" s="472" t="s">
        <v>748</v>
      </c>
      <c r="C48" s="477" t="s">
        <v>305</v>
      </c>
      <c r="D48" s="592">
        <f t="shared" si="18"/>
        <v>2022</v>
      </c>
      <c r="E48" s="597">
        <f>154/365</f>
        <v>0.42191780821917807</v>
      </c>
      <c r="F48" s="177">
        <v>0</v>
      </c>
      <c r="G48" s="177">
        <v>0</v>
      </c>
      <c r="H48" s="587">
        <f t="shared" si="14"/>
        <v>0</v>
      </c>
      <c r="I48" s="599">
        <v>0</v>
      </c>
      <c r="J48" s="594">
        <f t="shared" si="15"/>
        <v>0</v>
      </c>
      <c r="K48" s="599">
        <v>0</v>
      </c>
      <c r="L48" s="594">
        <f t="shared" si="16"/>
        <v>0</v>
      </c>
    </row>
    <row r="49" spans="1:12" ht="20.25" customHeight="1">
      <c r="A49" s="584">
        <f t="shared" si="17"/>
        <v>37</v>
      </c>
      <c r="B49" s="472" t="s">
        <v>748</v>
      </c>
      <c r="C49" s="477" t="s">
        <v>306</v>
      </c>
      <c r="D49" s="592">
        <f t="shared" si="18"/>
        <v>2022</v>
      </c>
      <c r="E49" s="597">
        <f>123/365</f>
        <v>0.33698630136986302</v>
      </c>
      <c r="F49" s="177">
        <v>0</v>
      </c>
      <c r="G49" s="177">
        <v>0</v>
      </c>
      <c r="H49" s="587">
        <f t="shared" si="14"/>
        <v>0</v>
      </c>
      <c r="I49" s="599">
        <v>0</v>
      </c>
      <c r="J49" s="594">
        <f t="shared" si="15"/>
        <v>0</v>
      </c>
      <c r="K49" s="599">
        <v>0</v>
      </c>
      <c r="L49" s="594">
        <f t="shared" si="16"/>
        <v>0</v>
      </c>
    </row>
    <row r="50" spans="1:12" ht="20.25" customHeight="1">
      <c r="A50" s="584">
        <f t="shared" si="17"/>
        <v>38</v>
      </c>
      <c r="B50" s="472" t="s">
        <v>748</v>
      </c>
      <c r="C50" s="477" t="s">
        <v>307</v>
      </c>
      <c r="D50" s="592">
        <f t="shared" si="18"/>
        <v>2022</v>
      </c>
      <c r="E50" s="597">
        <f>93/365</f>
        <v>0.25479452054794521</v>
      </c>
      <c r="F50" s="177">
        <v>0</v>
      </c>
      <c r="G50" s="177">
        <v>0</v>
      </c>
      <c r="H50" s="587">
        <f t="shared" si="14"/>
        <v>0</v>
      </c>
      <c r="I50" s="599">
        <v>0</v>
      </c>
      <c r="J50" s="594">
        <f t="shared" si="15"/>
        <v>0</v>
      </c>
      <c r="K50" s="599">
        <v>0</v>
      </c>
      <c r="L50" s="594">
        <f t="shared" si="16"/>
        <v>0</v>
      </c>
    </row>
    <row r="51" spans="1:12" ht="20.25" customHeight="1">
      <c r="A51" s="584">
        <f t="shared" si="17"/>
        <v>39</v>
      </c>
      <c r="B51" s="472" t="s">
        <v>748</v>
      </c>
      <c r="C51" s="477" t="s">
        <v>314</v>
      </c>
      <c r="D51" s="592">
        <f t="shared" si="18"/>
        <v>2022</v>
      </c>
      <c r="E51" s="597">
        <f>62/365</f>
        <v>0.16986301369863013</v>
      </c>
      <c r="F51" s="177">
        <v>0</v>
      </c>
      <c r="G51" s="177">
        <v>0</v>
      </c>
      <c r="H51" s="587">
        <f t="shared" si="14"/>
        <v>0</v>
      </c>
      <c r="I51" s="599">
        <v>0</v>
      </c>
      <c r="J51" s="594">
        <f t="shared" si="15"/>
        <v>0</v>
      </c>
      <c r="K51" s="599">
        <v>0</v>
      </c>
      <c r="L51" s="594">
        <f t="shared" si="16"/>
        <v>0</v>
      </c>
    </row>
    <row r="52" spans="1:12" ht="20.25" customHeight="1">
      <c r="A52" s="584">
        <f t="shared" si="17"/>
        <v>40</v>
      </c>
      <c r="B52" s="472" t="s">
        <v>748</v>
      </c>
      <c r="C52" s="477" t="s">
        <v>309</v>
      </c>
      <c r="D52" s="592">
        <f t="shared" si="18"/>
        <v>2022</v>
      </c>
      <c r="E52" s="597">
        <f>32/365</f>
        <v>8.7671232876712329E-2</v>
      </c>
      <c r="F52" s="177">
        <v>0</v>
      </c>
      <c r="G52" s="177">
        <v>0</v>
      </c>
      <c r="H52" s="587">
        <f t="shared" si="14"/>
        <v>0</v>
      </c>
      <c r="I52" s="599">
        <v>0</v>
      </c>
      <c r="J52" s="594">
        <f t="shared" si="15"/>
        <v>0</v>
      </c>
      <c r="K52" s="599">
        <v>0</v>
      </c>
      <c r="L52" s="594">
        <f t="shared" si="16"/>
        <v>0</v>
      </c>
    </row>
    <row r="53" spans="1:12" ht="20.25" customHeight="1">
      <c r="A53" s="584">
        <f t="shared" si="17"/>
        <v>41</v>
      </c>
      <c r="B53" s="472" t="s">
        <v>748</v>
      </c>
      <c r="C53" s="477" t="s">
        <v>296</v>
      </c>
      <c r="D53" s="592">
        <f t="shared" si="18"/>
        <v>2022</v>
      </c>
      <c r="E53" s="597">
        <f>1/365</f>
        <v>2.7397260273972603E-3</v>
      </c>
      <c r="F53" s="177">
        <v>0</v>
      </c>
      <c r="G53" s="177">
        <v>0</v>
      </c>
      <c r="H53" s="587">
        <f t="shared" si="14"/>
        <v>0</v>
      </c>
      <c r="I53" s="599">
        <v>0</v>
      </c>
      <c r="J53" s="594">
        <f t="shared" si="15"/>
        <v>0</v>
      </c>
      <c r="K53" s="599">
        <v>0</v>
      </c>
      <c r="L53" s="594">
        <f t="shared" si="16"/>
        <v>0</v>
      </c>
    </row>
    <row r="54" spans="1:12" ht="20.25" customHeight="1">
      <c r="A54" s="584">
        <f t="shared" si="17"/>
        <v>42</v>
      </c>
      <c r="B54" s="472" t="s">
        <v>755</v>
      </c>
      <c r="F54" s="587">
        <f t="shared" ref="F54:L54" si="19">SUM(F41:F53)</f>
        <v>0</v>
      </c>
      <c r="G54" s="587">
        <f t="shared" si="19"/>
        <v>0</v>
      </c>
      <c r="H54" s="587">
        <f t="shared" si="19"/>
        <v>0</v>
      </c>
      <c r="I54" s="594">
        <f t="shared" si="19"/>
        <v>0</v>
      </c>
      <c r="J54" s="594">
        <f t="shared" si="19"/>
        <v>0</v>
      </c>
      <c r="K54" s="594">
        <f t="shared" si="19"/>
        <v>0</v>
      </c>
      <c r="L54" s="594">
        <f t="shared" si="19"/>
        <v>0</v>
      </c>
    </row>
    <row r="55" spans="1:12">
      <c r="B55" s="477"/>
    </row>
    <row r="56" spans="1:12">
      <c r="B56" s="477"/>
    </row>
    <row r="57" spans="1:12" ht="15.75" customHeight="1">
      <c r="A57" s="485" t="s">
        <v>246</v>
      </c>
      <c r="B57" s="477" t="s">
        <v>756</v>
      </c>
    </row>
    <row r="58" spans="1:12">
      <c r="A58" s="485" t="s">
        <v>248</v>
      </c>
      <c r="B58" s="477" t="s">
        <v>757</v>
      </c>
      <c r="D58" s="601"/>
      <c r="E58" s="601"/>
      <c r="F58" s="601"/>
      <c r="G58" s="601"/>
      <c r="H58" s="601"/>
      <c r="I58" s="602"/>
    </row>
    <row r="59" spans="1:12">
      <c r="A59" s="603" t="s">
        <v>186</v>
      </c>
      <c r="B59" s="477" t="s">
        <v>758</v>
      </c>
      <c r="D59" s="601"/>
      <c r="E59" s="601"/>
      <c r="F59" s="601"/>
      <c r="G59" s="601"/>
      <c r="H59" s="601"/>
      <c r="I59" s="602"/>
    </row>
    <row r="60" spans="1:12">
      <c r="A60" s="603" t="s">
        <v>188</v>
      </c>
      <c r="B60" s="477" t="s">
        <v>759</v>
      </c>
      <c r="D60" s="601"/>
      <c r="E60" s="601"/>
      <c r="F60" s="601"/>
      <c r="G60" s="601"/>
      <c r="H60" s="601"/>
      <c r="I60" s="602"/>
    </row>
    <row r="61" spans="1:12">
      <c r="A61" s="603" t="s">
        <v>190</v>
      </c>
      <c r="B61" s="472" t="s">
        <v>760</v>
      </c>
      <c r="D61" s="476"/>
      <c r="E61" s="476"/>
    </row>
    <row r="62" spans="1:12">
      <c r="D62" s="382"/>
      <c r="E62" s="382"/>
    </row>
    <row r="63" spans="1:12">
      <c r="D63" s="382"/>
      <c r="E63" s="382"/>
    </row>
    <row r="64" spans="1:12">
      <c r="D64" s="382"/>
      <c r="E64" s="382"/>
    </row>
    <row r="65" spans="2:10">
      <c r="D65" s="382"/>
      <c r="E65" s="382"/>
    </row>
    <row r="66" spans="2:10">
      <c r="D66" s="382"/>
      <c r="E66" s="382"/>
      <c r="J66" s="382"/>
    </row>
    <row r="67" spans="2:10">
      <c r="D67" s="382"/>
      <c r="E67" s="382"/>
    </row>
    <row r="68" spans="2:10">
      <c r="D68" s="382"/>
      <c r="E68" s="382"/>
    </row>
    <row r="69" spans="2:10">
      <c r="D69" s="382"/>
      <c r="E69" s="382"/>
    </row>
    <row r="70" spans="2:10">
      <c r="D70" s="382"/>
      <c r="E70" s="382"/>
    </row>
    <row r="71" spans="2:10">
      <c r="D71" s="382"/>
      <c r="E71" s="382"/>
    </row>
    <row r="72" spans="2:10">
      <c r="B72" s="477"/>
      <c r="D72" s="382"/>
      <c r="E72" s="382"/>
    </row>
    <row r="73" spans="2:10">
      <c r="D73" s="382"/>
      <c r="E73" s="382"/>
    </row>
    <row r="74" spans="2:10">
      <c r="B74" s="477"/>
      <c r="D74" s="382"/>
      <c r="E74" s="382"/>
    </row>
    <row r="178" spans="9:9">
      <c r="I178" s="595"/>
    </row>
  </sheetData>
  <mergeCells count="3">
    <mergeCell ref="A1:L1"/>
    <mergeCell ref="A2:L2"/>
    <mergeCell ref="A3:L3"/>
  </mergeCells>
  <printOptions horizontalCentered="1"/>
  <pageMargins left="0.25" right="0.25" top="0.5" bottom="0.5" header="0.3" footer="0.3"/>
  <pageSetup scale="43" fitToHeight="2" orientation="landscape" cellComments="asDisplayed" r:id="rId1"/>
  <headerFooter alignWithMargins="0"/>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76D40-AC9D-46B3-9031-DF5F55F59C8A}">
  <sheetPr>
    <tabColor rgb="FF92D050"/>
  </sheetPr>
  <dimension ref="A1:U210"/>
  <sheetViews>
    <sheetView view="pageBreakPreview" topLeftCell="A56" zoomScale="70" zoomScaleNormal="70" zoomScaleSheetLayoutView="70" workbookViewId="0">
      <selection activeCell="E43" sqref="E43"/>
    </sheetView>
  </sheetViews>
  <sheetFormatPr defaultColWidth="8.81640625" defaultRowHeight="15.6"/>
  <cols>
    <col min="1" max="1" width="5.1796875" style="477" customWidth="1"/>
    <col min="2" max="2" width="51.453125" style="472" customWidth="1"/>
    <col min="3" max="3" width="22" style="477" customWidth="1"/>
    <col min="4" max="4" width="16.1796875" style="477" customWidth="1"/>
    <col min="5" max="5" width="11.81640625" style="477" customWidth="1"/>
    <col min="6" max="6" width="13.81640625" style="477" customWidth="1"/>
    <col min="7" max="7" width="13" style="477" customWidth="1"/>
    <col min="8" max="8" width="77.54296875" style="477" customWidth="1"/>
    <col min="9" max="16384" width="8.81640625" style="577"/>
  </cols>
  <sheetData>
    <row r="1" spans="1:21" ht="17.399999999999999">
      <c r="B1" s="931" t="s">
        <v>761</v>
      </c>
      <c r="C1" s="931"/>
      <c r="D1" s="931"/>
      <c r="E1" s="931"/>
      <c r="F1" s="931"/>
      <c r="G1" s="931"/>
      <c r="H1" s="931"/>
      <c r="I1" s="579"/>
      <c r="J1" s="579"/>
    </row>
    <row r="2" spans="1:21" ht="17.399999999999999">
      <c r="B2" s="931" t="str">
        <f>'6d- ADIT EOY'!B2:H2</f>
        <v>For the 12 months ended 12/31/2022</v>
      </c>
      <c r="C2" s="931"/>
      <c r="D2" s="931"/>
      <c r="E2" s="931"/>
      <c r="F2" s="931"/>
      <c r="G2" s="931"/>
      <c r="H2" s="931"/>
      <c r="I2" s="579"/>
      <c r="J2" s="579"/>
    </row>
    <row r="3" spans="1:21" ht="17.399999999999999">
      <c r="B3" s="931"/>
      <c r="C3" s="931"/>
      <c r="D3" s="931"/>
      <c r="E3" s="931"/>
      <c r="F3" s="931"/>
      <c r="G3" s="931"/>
      <c r="H3" s="943"/>
      <c r="I3" s="579"/>
      <c r="J3" s="579"/>
    </row>
    <row r="4" spans="1:21" ht="17.399999999999999">
      <c r="B4" s="477"/>
      <c r="I4" s="579"/>
      <c r="J4" s="579"/>
    </row>
    <row r="5" spans="1:21">
      <c r="D5" s="476"/>
      <c r="E5" s="476"/>
      <c r="G5" s="476"/>
    </row>
    <row r="6" spans="1:21">
      <c r="D6" s="577"/>
      <c r="E6" s="577"/>
      <c r="F6" s="577"/>
      <c r="G6" s="577"/>
      <c r="U6" s="578"/>
    </row>
    <row r="7" spans="1:21" ht="34.5" customHeight="1">
      <c r="A7" s="580" t="s">
        <v>694</v>
      </c>
      <c r="B7" s="580" t="s">
        <v>695</v>
      </c>
      <c r="C7" s="581"/>
      <c r="D7" s="582"/>
      <c r="E7" s="583" t="s">
        <v>389</v>
      </c>
      <c r="F7" s="583" t="s">
        <v>696</v>
      </c>
      <c r="G7" s="580" t="s">
        <v>697</v>
      </c>
      <c r="H7" s="581"/>
      <c r="U7" s="578"/>
    </row>
    <row r="8" spans="1:21">
      <c r="B8" s="584"/>
      <c r="D8" s="577"/>
      <c r="L8" s="585"/>
    </row>
    <row r="9" spans="1:21" ht="20.25" customHeight="1">
      <c r="A9" s="477">
        <v>1</v>
      </c>
      <c r="B9" s="477" t="s">
        <v>721</v>
      </c>
      <c r="D9" s="577"/>
      <c r="E9" s="27">
        <f>+E54</f>
        <v>-1252959</v>
      </c>
      <c r="F9" s="27">
        <f>+F54</f>
        <v>0</v>
      </c>
      <c r="G9" s="27">
        <f>+G54</f>
        <v>0</v>
      </c>
      <c r="H9" s="477" t="s">
        <v>762</v>
      </c>
    </row>
    <row r="10" spans="1:21" ht="20.25" customHeight="1">
      <c r="A10" s="477">
        <f>+A9+1</f>
        <v>2</v>
      </c>
      <c r="B10" s="477" t="s">
        <v>727</v>
      </c>
      <c r="D10" s="577"/>
      <c r="E10" s="27">
        <f>+E78</f>
        <v>-4390001</v>
      </c>
      <c r="F10" s="27">
        <f>+F78</f>
        <v>0</v>
      </c>
      <c r="G10" s="27">
        <f>+G78</f>
        <v>0</v>
      </c>
      <c r="H10" s="477" t="s">
        <v>763</v>
      </c>
    </row>
    <row r="11" spans="1:21" ht="20.25" customHeight="1">
      <c r="A11" s="477">
        <f>+A10+1</f>
        <v>3</v>
      </c>
      <c r="B11" s="477" t="s">
        <v>702</v>
      </c>
      <c r="D11" s="577"/>
      <c r="E11" s="27">
        <f>E32</f>
        <v>171359</v>
      </c>
      <c r="F11" s="27">
        <f>F32</f>
        <v>0</v>
      </c>
      <c r="G11" s="27">
        <f>G32</f>
        <v>0</v>
      </c>
      <c r="H11" s="477" t="s">
        <v>764</v>
      </c>
    </row>
    <row r="12" spans="1:21" ht="20.25" customHeight="1">
      <c r="A12" s="477">
        <f>+A11+1</f>
        <v>4</v>
      </c>
      <c r="B12" s="477" t="s">
        <v>704</v>
      </c>
      <c r="D12" s="577"/>
      <c r="E12" s="27">
        <f>SUM(E9:E11)</f>
        <v>-5471601</v>
      </c>
      <c r="F12" s="27">
        <f>SUM(F9:F11)</f>
        <v>0</v>
      </c>
      <c r="G12" s="27">
        <f>SUM(G9:G11)</f>
        <v>0</v>
      </c>
      <c r="H12" s="586" t="s">
        <v>765</v>
      </c>
    </row>
    <row r="13" spans="1:21">
      <c r="B13" s="477"/>
      <c r="D13" s="586"/>
      <c r="H13" s="27"/>
    </row>
    <row r="14" spans="1:21">
      <c r="B14" s="477"/>
      <c r="H14" s="587"/>
    </row>
    <row r="15" spans="1:21" ht="33" customHeight="1">
      <c r="B15" s="924" t="s">
        <v>766</v>
      </c>
      <c r="C15" s="924"/>
      <c r="D15" s="924"/>
      <c r="E15" s="924"/>
      <c r="F15" s="924"/>
      <c r="G15" s="924"/>
      <c r="H15" s="924"/>
    </row>
    <row r="16" spans="1:21">
      <c r="C16" s="577"/>
      <c r="D16" s="476"/>
      <c r="E16" s="476"/>
      <c r="F16" s="476"/>
      <c r="G16" s="476"/>
    </row>
    <row r="17" spans="1:8">
      <c r="B17" s="476" t="s">
        <v>186</v>
      </c>
      <c r="C17" s="476" t="s">
        <v>188</v>
      </c>
      <c r="D17" s="476" t="s">
        <v>190</v>
      </c>
      <c r="E17" s="476" t="s">
        <v>193</v>
      </c>
      <c r="F17" s="476" t="s">
        <v>196</v>
      </c>
      <c r="G17" s="476" t="s">
        <v>198</v>
      </c>
      <c r="H17" s="476" t="s">
        <v>207</v>
      </c>
    </row>
    <row r="18" spans="1:8" ht="31.2">
      <c r="B18" s="472" t="s">
        <v>702</v>
      </c>
      <c r="C18" s="478" t="s">
        <v>48</v>
      </c>
      <c r="D18" s="478" t="s">
        <v>767</v>
      </c>
      <c r="E18" s="478" t="s">
        <v>389</v>
      </c>
      <c r="F18" s="478" t="s">
        <v>696</v>
      </c>
      <c r="G18" s="478" t="s">
        <v>697</v>
      </c>
      <c r="H18" s="478" t="s">
        <v>768</v>
      </c>
    </row>
    <row r="19" spans="1:8" ht="30" customHeight="1">
      <c r="A19" s="477">
        <f>A12+1</f>
        <v>5</v>
      </c>
      <c r="B19" s="604"/>
      <c r="C19" s="605">
        <f>+E19</f>
        <v>171359</v>
      </c>
      <c r="D19" s="606"/>
      <c r="E19" s="606">
        <v>171359</v>
      </c>
      <c r="F19" s="606"/>
      <c r="G19" s="606"/>
      <c r="H19" s="607"/>
    </row>
    <row r="20" spans="1:8" ht="30" customHeight="1">
      <c r="A20" s="477">
        <f t="shared" ref="A20:A32" si="0">+A19+1</f>
        <v>6</v>
      </c>
      <c r="B20" s="608"/>
      <c r="C20" s="605"/>
      <c r="D20" s="606"/>
      <c r="E20" s="606"/>
      <c r="F20" s="606"/>
      <c r="G20" s="606"/>
      <c r="H20" s="607"/>
    </row>
    <row r="21" spans="1:8" ht="30" customHeight="1">
      <c r="A21" s="477">
        <f t="shared" si="0"/>
        <v>7</v>
      </c>
      <c r="B21" s="608"/>
      <c r="C21" s="605"/>
      <c r="D21" s="606"/>
      <c r="E21" s="606"/>
      <c r="F21" s="606"/>
      <c r="G21" s="606"/>
      <c r="H21" s="607"/>
    </row>
    <row r="22" spans="1:8" ht="30" customHeight="1">
      <c r="A22" s="477">
        <f t="shared" si="0"/>
        <v>8</v>
      </c>
      <c r="B22" s="608"/>
      <c r="C22" s="605"/>
      <c r="D22" s="606"/>
      <c r="E22" s="606"/>
      <c r="F22" s="606"/>
      <c r="G22" s="606"/>
      <c r="H22" s="607"/>
    </row>
    <row r="23" spans="1:8" ht="30" customHeight="1">
      <c r="A23" s="477">
        <f t="shared" si="0"/>
        <v>9</v>
      </c>
      <c r="B23" s="608"/>
      <c r="C23" s="605"/>
      <c r="D23" s="606"/>
      <c r="E23" s="606"/>
      <c r="F23" s="606"/>
      <c r="G23" s="606"/>
      <c r="H23" s="607"/>
    </row>
    <row r="24" spans="1:8" ht="30" customHeight="1">
      <c r="A24" s="477">
        <f t="shared" si="0"/>
        <v>10</v>
      </c>
      <c r="B24" s="608"/>
      <c r="C24" s="605"/>
      <c r="D24" s="606"/>
      <c r="E24" s="606"/>
      <c r="F24" s="606"/>
      <c r="G24" s="606"/>
      <c r="H24" s="607"/>
    </row>
    <row r="25" spans="1:8" ht="30" customHeight="1">
      <c r="A25" s="477">
        <f t="shared" si="0"/>
        <v>11</v>
      </c>
      <c r="B25" s="608"/>
      <c r="C25" s="605"/>
      <c r="D25" s="606"/>
      <c r="E25" s="606"/>
      <c r="F25" s="606"/>
      <c r="G25" s="606"/>
      <c r="H25" s="607"/>
    </row>
    <row r="26" spans="1:8" ht="30" customHeight="1">
      <c r="A26" s="477">
        <f t="shared" si="0"/>
        <v>12</v>
      </c>
      <c r="B26" s="608"/>
      <c r="C26" s="605"/>
      <c r="D26" s="609"/>
      <c r="E26" s="606"/>
      <c r="F26" s="606"/>
      <c r="G26" s="606"/>
      <c r="H26" s="607"/>
    </row>
    <row r="27" spans="1:8" ht="30" customHeight="1">
      <c r="A27" s="477">
        <f t="shared" si="0"/>
        <v>13</v>
      </c>
      <c r="B27" s="608"/>
      <c r="C27" s="605"/>
      <c r="D27" s="606"/>
      <c r="E27" s="606"/>
      <c r="F27" s="606"/>
      <c r="G27" s="606"/>
      <c r="H27" s="607"/>
    </row>
    <row r="28" spans="1:8" ht="30" customHeight="1">
      <c r="A28" s="477">
        <f t="shared" si="0"/>
        <v>14</v>
      </c>
      <c r="B28" s="610" t="s">
        <v>48</v>
      </c>
      <c r="C28" s="611"/>
      <c r="D28" s="611"/>
      <c r="E28" s="611"/>
      <c r="F28" s="611"/>
      <c r="G28" s="611"/>
      <c r="H28" s="612" t="s">
        <v>769</v>
      </c>
    </row>
    <row r="29" spans="1:8" ht="20.25" customHeight="1">
      <c r="A29" s="477">
        <f t="shared" si="0"/>
        <v>15</v>
      </c>
      <c r="B29" s="613" t="s">
        <v>770</v>
      </c>
      <c r="C29" s="614">
        <f>SUBTOTAL(9,C19:C28)</f>
        <v>171359</v>
      </c>
      <c r="D29" s="526">
        <f>SUM(D19:D28)</f>
        <v>0</v>
      </c>
      <c r="E29" s="526">
        <f>SUM(E19:E28)</f>
        <v>171359</v>
      </c>
      <c r="F29" s="526">
        <f>SUM(F19:F28)</f>
        <v>0</v>
      </c>
      <c r="G29" s="526">
        <f>SUM(G19:G28)</f>
        <v>0</v>
      </c>
      <c r="H29" s="615"/>
    </row>
    <row r="30" spans="1:8" ht="20.25" customHeight="1">
      <c r="A30" s="477">
        <f t="shared" si="0"/>
        <v>16</v>
      </c>
      <c r="B30" s="616" t="s">
        <v>771</v>
      </c>
      <c r="C30" s="617"/>
      <c r="D30" s="617"/>
      <c r="E30" s="617"/>
      <c r="F30" s="618"/>
      <c r="G30" s="619"/>
      <c r="H30" s="607"/>
    </row>
    <row r="31" spans="1:8" ht="20.25" customHeight="1">
      <c r="A31" s="477">
        <f t="shared" si="0"/>
        <v>17</v>
      </c>
      <c r="B31" s="620" t="s">
        <v>772</v>
      </c>
      <c r="C31" s="621"/>
      <c r="D31" s="621"/>
      <c r="E31" s="621"/>
      <c r="F31" s="621"/>
      <c r="G31" s="621"/>
      <c r="H31" s="622"/>
    </row>
    <row r="32" spans="1:8" ht="20.25" customHeight="1" thickBot="1">
      <c r="A32" s="477">
        <f t="shared" si="0"/>
        <v>18</v>
      </c>
      <c r="B32" s="623" t="s">
        <v>48</v>
      </c>
      <c r="C32" s="624">
        <f>+C29-C30-C31</f>
        <v>171359</v>
      </c>
      <c r="D32" s="624">
        <f>+D29-D30-D31</f>
        <v>0</v>
      </c>
      <c r="E32" s="624">
        <f>+E29-E30-E31</f>
        <v>171359</v>
      </c>
      <c r="F32" s="624">
        <f>+F29-F30-F31</f>
        <v>0</v>
      </c>
      <c r="G32" s="624">
        <f>+G29-G30-G31</f>
        <v>0</v>
      </c>
      <c r="H32" s="625"/>
    </row>
    <row r="33" spans="1:8" ht="20.25" customHeight="1" thickTop="1">
      <c r="B33" s="477" t="s">
        <v>773</v>
      </c>
      <c r="C33" s="586"/>
      <c r="D33" s="626"/>
      <c r="E33" s="476"/>
      <c r="G33" s="627"/>
    </row>
    <row r="34" spans="1:8" ht="20.25" customHeight="1">
      <c r="B34" s="944" t="s">
        <v>774</v>
      </c>
      <c r="C34" s="944"/>
      <c r="D34" s="944"/>
      <c r="E34" s="944"/>
      <c r="F34" s="944"/>
      <c r="G34" s="944"/>
    </row>
    <row r="35" spans="1:8" ht="20.25" customHeight="1">
      <c r="B35" s="472" t="s">
        <v>775</v>
      </c>
      <c r="F35" s="476"/>
      <c r="G35" s="476"/>
    </row>
    <row r="36" spans="1:8" ht="20.25" customHeight="1">
      <c r="B36" s="472" t="s">
        <v>776</v>
      </c>
      <c r="F36" s="476"/>
      <c r="G36" s="476"/>
    </row>
    <row r="37" spans="1:8" ht="20.25" customHeight="1">
      <c r="B37" s="472" t="s">
        <v>777</v>
      </c>
      <c r="F37" s="476"/>
      <c r="G37" s="476"/>
    </row>
    <row r="38" spans="1:8" ht="35.25" customHeight="1">
      <c r="B38" s="944" t="s">
        <v>778</v>
      </c>
      <c r="C38" s="944"/>
      <c r="D38" s="944"/>
      <c r="E38" s="944"/>
      <c r="F38" s="944"/>
      <c r="G38" s="944"/>
      <c r="H38" s="628"/>
    </row>
    <row r="39" spans="1:8">
      <c r="B39" s="628"/>
      <c r="C39" s="628"/>
      <c r="D39" s="628"/>
      <c r="E39" s="628"/>
      <c r="F39" s="628"/>
      <c r="G39" s="628"/>
      <c r="H39" s="628"/>
    </row>
    <row r="40" spans="1:8">
      <c r="B40" s="477"/>
    </row>
    <row r="41" spans="1:8">
      <c r="B41" s="476" t="s">
        <v>186</v>
      </c>
      <c r="C41" s="476" t="s">
        <v>188</v>
      </c>
      <c r="D41" s="476" t="s">
        <v>190</v>
      </c>
      <c r="E41" s="476" t="s">
        <v>193</v>
      </c>
      <c r="F41" s="476" t="s">
        <v>196</v>
      </c>
      <c r="G41" s="476" t="s">
        <v>198</v>
      </c>
      <c r="H41" s="476" t="s">
        <v>207</v>
      </c>
    </row>
    <row r="42" spans="1:8" ht="31.2">
      <c r="B42" s="477" t="s">
        <v>779</v>
      </c>
      <c r="C42" s="478" t="s">
        <v>48</v>
      </c>
      <c r="D42" s="478" t="s">
        <v>767</v>
      </c>
      <c r="E42" s="478" t="s">
        <v>389</v>
      </c>
      <c r="F42" s="478" t="s">
        <v>696</v>
      </c>
      <c r="G42" s="478" t="s">
        <v>697</v>
      </c>
      <c r="H42" s="478" t="s">
        <v>768</v>
      </c>
    </row>
    <row r="43" spans="1:8" ht="30" customHeight="1">
      <c r="A43" s="477">
        <f>A32+1</f>
        <v>19</v>
      </c>
      <c r="B43" s="608" t="s">
        <v>780</v>
      </c>
      <c r="C43" s="605">
        <f>+E43</f>
        <v>-1906871</v>
      </c>
      <c r="D43" s="606"/>
      <c r="E43" s="629">
        <v>-1906871</v>
      </c>
      <c r="F43" s="606"/>
      <c r="G43" s="606"/>
      <c r="H43" s="607"/>
    </row>
    <row r="44" spans="1:8" ht="30" customHeight="1">
      <c r="A44" s="477">
        <f t="shared" ref="A44:A54" si="1">+A43+1</f>
        <v>20</v>
      </c>
      <c r="B44" s="608"/>
      <c r="C44" s="605"/>
      <c r="D44" s="606"/>
      <c r="E44" s="606"/>
      <c r="F44" s="606"/>
      <c r="G44" s="606"/>
      <c r="H44" s="607"/>
    </row>
    <row r="45" spans="1:8" ht="30" customHeight="1">
      <c r="A45" s="477">
        <f t="shared" si="1"/>
        <v>21</v>
      </c>
      <c r="B45" s="608"/>
      <c r="C45" s="605"/>
      <c r="D45" s="606"/>
      <c r="E45" s="606"/>
      <c r="F45" s="606"/>
      <c r="G45" s="606"/>
      <c r="H45" s="607"/>
    </row>
    <row r="46" spans="1:8" ht="30" customHeight="1">
      <c r="A46" s="477">
        <f t="shared" si="1"/>
        <v>22</v>
      </c>
      <c r="B46" s="608"/>
      <c r="C46" s="606"/>
      <c r="D46" s="606"/>
      <c r="E46" s="606"/>
      <c r="F46" s="606"/>
      <c r="G46" s="606"/>
      <c r="H46" s="607"/>
    </row>
    <row r="47" spans="1:8" ht="30" customHeight="1">
      <c r="A47" s="477">
        <f t="shared" si="1"/>
        <v>23</v>
      </c>
      <c r="B47" s="608"/>
      <c r="C47" s="606"/>
      <c r="D47" s="606"/>
      <c r="E47" s="606"/>
      <c r="F47" s="606"/>
      <c r="G47" s="606"/>
      <c r="H47" s="607"/>
    </row>
    <row r="48" spans="1:8" ht="30" customHeight="1">
      <c r="A48" s="477">
        <f t="shared" si="1"/>
        <v>24</v>
      </c>
      <c r="B48" s="630"/>
      <c r="C48" s="631"/>
      <c r="D48" s="631"/>
      <c r="E48" s="631"/>
      <c r="F48" s="631"/>
      <c r="G48" s="631"/>
      <c r="H48" s="607"/>
    </row>
    <row r="49" spans="1:8" ht="30" customHeight="1">
      <c r="A49" s="477">
        <f t="shared" si="1"/>
        <v>25</v>
      </c>
      <c r="B49" s="632"/>
      <c r="C49" s="631"/>
      <c r="D49" s="631"/>
      <c r="E49" s="631"/>
      <c r="F49" s="631"/>
      <c r="G49" s="631"/>
      <c r="H49" s="607"/>
    </row>
    <row r="50" spans="1:8" ht="30" customHeight="1">
      <c r="A50" s="477">
        <f t="shared" si="1"/>
        <v>26</v>
      </c>
      <c r="B50" s="610" t="s">
        <v>48</v>
      </c>
      <c r="C50" s="633">
        <f>+E50</f>
        <v>-1252959</v>
      </c>
      <c r="D50" s="633"/>
      <c r="E50" s="633">
        <v>-1252959</v>
      </c>
      <c r="F50" s="633"/>
      <c r="G50" s="633"/>
      <c r="H50" s="612" t="s">
        <v>769</v>
      </c>
    </row>
    <row r="51" spans="1:8" ht="20.25" customHeight="1">
      <c r="A51" s="477">
        <f t="shared" si="1"/>
        <v>27</v>
      </c>
      <c r="B51" s="634" t="s">
        <v>781</v>
      </c>
      <c r="C51" s="526">
        <f>SUBTOTAL(9,C43:C50)</f>
        <v>-3159830</v>
      </c>
      <c r="D51" s="526">
        <f>SUM(D43:D50)</f>
        <v>0</v>
      </c>
      <c r="E51" s="526">
        <f>SUM(E43:E50)</f>
        <v>-3159830</v>
      </c>
      <c r="F51" s="526">
        <f>SUM(F43:F50)</f>
        <v>0</v>
      </c>
      <c r="G51" s="526">
        <f>SUM(G43:G50)</f>
        <v>0</v>
      </c>
      <c r="H51" s="615"/>
    </row>
    <row r="52" spans="1:8" ht="20.25" customHeight="1">
      <c r="A52" s="477">
        <f t="shared" si="1"/>
        <v>28</v>
      </c>
      <c r="B52" s="634" t="s">
        <v>771</v>
      </c>
      <c r="C52" s="617">
        <f>+E52</f>
        <v>-1906871</v>
      </c>
      <c r="D52" s="617"/>
      <c r="E52" s="617">
        <f>E43</f>
        <v>-1906871</v>
      </c>
      <c r="F52" s="617"/>
      <c r="G52" s="617"/>
      <c r="H52" s="607"/>
    </row>
    <row r="53" spans="1:8" ht="20.25" customHeight="1">
      <c r="A53" s="477">
        <f t="shared" si="1"/>
        <v>29</v>
      </c>
      <c r="B53" s="635" t="s">
        <v>772</v>
      </c>
      <c r="C53" s="621"/>
      <c r="D53" s="621"/>
      <c r="E53" s="621"/>
      <c r="F53" s="621"/>
      <c r="G53" s="621"/>
      <c r="H53" s="622"/>
    </row>
    <row r="54" spans="1:8" ht="20.25" customHeight="1" thickBot="1">
      <c r="A54" s="477">
        <f t="shared" si="1"/>
        <v>30</v>
      </c>
      <c r="B54" s="623" t="s">
        <v>48</v>
      </c>
      <c r="C54" s="624">
        <f>+C51-C52-C53</f>
        <v>-1252959</v>
      </c>
      <c r="D54" s="624">
        <f>+D51-D52-D53</f>
        <v>0</v>
      </c>
      <c r="E54" s="624">
        <f>+E51-E52-E53</f>
        <v>-1252959</v>
      </c>
      <c r="F54" s="624">
        <f>+F51-F52-F53</f>
        <v>0</v>
      </c>
      <c r="G54" s="624">
        <f>+G51-G52-G53</f>
        <v>0</v>
      </c>
      <c r="H54" s="625"/>
    </row>
    <row r="55" spans="1:8" ht="20.25" customHeight="1" thickTop="1">
      <c r="B55" s="477" t="s">
        <v>782</v>
      </c>
      <c r="D55" s="476"/>
      <c r="E55" s="626"/>
      <c r="G55" s="628"/>
    </row>
    <row r="56" spans="1:8" ht="20.25" customHeight="1">
      <c r="B56" s="944" t="s">
        <v>774</v>
      </c>
      <c r="C56" s="944"/>
      <c r="D56" s="944"/>
      <c r="E56" s="944"/>
      <c r="F56" s="944"/>
      <c r="G56" s="944"/>
    </row>
    <row r="57" spans="1:8" ht="20.25" customHeight="1">
      <c r="B57" s="472" t="s">
        <v>775</v>
      </c>
      <c r="F57" s="476"/>
      <c r="G57" s="476"/>
    </row>
    <row r="58" spans="1:8" ht="20.25" customHeight="1">
      <c r="B58" s="472" t="s">
        <v>776</v>
      </c>
      <c r="F58" s="476"/>
      <c r="G58" s="476"/>
    </row>
    <row r="59" spans="1:8" ht="20.25" customHeight="1">
      <c r="B59" s="472" t="s">
        <v>777</v>
      </c>
      <c r="F59" s="476"/>
      <c r="G59" s="476"/>
    </row>
    <row r="60" spans="1:8" ht="35.25" customHeight="1">
      <c r="B60" s="944" t="s">
        <v>778</v>
      </c>
      <c r="C60" s="944"/>
      <c r="D60" s="944"/>
      <c r="E60" s="944"/>
      <c r="F60" s="944"/>
      <c r="G60" s="944"/>
      <c r="H60" s="628"/>
    </row>
    <row r="61" spans="1:8">
      <c r="H61" s="628"/>
    </row>
    <row r="62" spans="1:8">
      <c r="H62" s="628"/>
    </row>
    <row r="63" spans="1:8">
      <c r="B63" s="476" t="s">
        <v>186</v>
      </c>
      <c r="C63" s="476" t="s">
        <v>188</v>
      </c>
      <c r="D63" s="476" t="s">
        <v>190</v>
      </c>
      <c r="E63" s="476" t="s">
        <v>193</v>
      </c>
      <c r="F63" s="476" t="s">
        <v>196</v>
      </c>
      <c r="G63" s="476" t="s">
        <v>198</v>
      </c>
      <c r="H63" s="476" t="s">
        <v>207</v>
      </c>
    </row>
    <row r="64" spans="1:8" ht="31.2">
      <c r="B64" s="477" t="s">
        <v>783</v>
      </c>
      <c r="C64" s="478" t="s">
        <v>48</v>
      </c>
      <c r="D64" s="478" t="s">
        <v>767</v>
      </c>
      <c r="E64" s="478" t="s">
        <v>389</v>
      </c>
      <c r="F64" s="478" t="s">
        <v>696</v>
      </c>
      <c r="G64" s="478" t="s">
        <v>697</v>
      </c>
      <c r="H64" s="478" t="s">
        <v>768</v>
      </c>
    </row>
    <row r="65" spans="1:10" ht="30" customHeight="1">
      <c r="A65" s="477">
        <f>A54+1</f>
        <v>31</v>
      </c>
      <c r="B65" s="636"/>
      <c r="C65" s="605">
        <f>+E65</f>
        <v>-740958</v>
      </c>
      <c r="D65" s="606"/>
      <c r="E65" s="606">
        <v>-740958</v>
      </c>
      <c r="F65" s="606"/>
      <c r="G65" s="606"/>
      <c r="H65" s="607"/>
    </row>
    <row r="66" spans="1:10" ht="30" customHeight="1">
      <c r="A66" s="477">
        <f t="shared" ref="A66:A78" si="2">+A65+1</f>
        <v>32</v>
      </c>
      <c r="B66" s="608"/>
      <c r="C66" s="605"/>
      <c r="D66" s="606"/>
      <c r="E66" s="606"/>
      <c r="F66" s="606"/>
      <c r="G66" s="606"/>
      <c r="H66" s="607"/>
      <c r="J66" s="637"/>
    </row>
    <row r="67" spans="1:10" ht="30" customHeight="1">
      <c r="A67" s="477">
        <f t="shared" si="2"/>
        <v>33</v>
      </c>
      <c r="B67" s="608"/>
      <c r="C67" s="605"/>
      <c r="D67" s="606"/>
      <c r="E67" s="606"/>
      <c r="F67" s="606"/>
      <c r="G67" s="606"/>
      <c r="H67" s="607"/>
    </row>
    <row r="68" spans="1:10" ht="30" customHeight="1">
      <c r="A68" s="477">
        <f t="shared" si="2"/>
        <v>34</v>
      </c>
      <c r="B68" s="608"/>
      <c r="C68" s="605"/>
      <c r="D68" s="606"/>
      <c r="E68" s="606"/>
      <c r="F68" s="606"/>
      <c r="G68" s="606"/>
      <c r="H68" s="607"/>
    </row>
    <row r="69" spans="1:10" ht="30" customHeight="1">
      <c r="A69" s="477">
        <f t="shared" si="2"/>
        <v>35</v>
      </c>
      <c r="B69" s="608"/>
      <c r="C69" s="606"/>
      <c r="D69" s="631"/>
      <c r="E69" s="606"/>
      <c r="F69" s="606"/>
      <c r="G69" s="606"/>
      <c r="H69" s="607"/>
    </row>
    <row r="70" spans="1:10" ht="30" customHeight="1">
      <c r="A70" s="477">
        <f t="shared" si="2"/>
        <v>36</v>
      </c>
      <c r="B70" s="608"/>
      <c r="C70" s="606"/>
      <c r="D70" s="631"/>
      <c r="E70" s="606"/>
      <c r="F70" s="606"/>
      <c r="G70" s="606"/>
      <c r="H70" s="607"/>
    </row>
    <row r="71" spans="1:10" ht="30" customHeight="1">
      <c r="A71" s="477">
        <f t="shared" si="2"/>
        <v>37</v>
      </c>
      <c r="B71" s="608"/>
      <c r="C71" s="606"/>
      <c r="D71" s="631"/>
      <c r="E71" s="606"/>
      <c r="F71" s="606"/>
      <c r="G71" s="606"/>
      <c r="H71" s="607"/>
    </row>
    <row r="72" spans="1:10" ht="30" customHeight="1">
      <c r="A72" s="477">
        <f t="shared" si="2"/>
        <v>38</v>
      </c>
      <c r="B72" s="608"/>
      <c r="C72" s="606"/>
      <c r="D72" s="609"/>
      <c r="E72" s="606"/>
      <c r="F72" s="606"/>
      <c r="G72" s="606"/>
      <c r="H72" s="607"/>
    </row>
    <row r="73" spans="1:10" ht="30" customHeight="1">
      <c r="A73" s="477">
        <f t="shared" si="2"/>
        <v>39</v>
      </c>
      <c r="B73" s="608"/>
      <c r="C73" s="606"/>
      <c r="D73" s="606"/>
      <c r="E73" s="606"/>
      <c r="F73" s="606"/>
      <c r="G73" s="606"/>
      <c r="H73" s="607"/>
    </row>
    <row r="74" spans="1:10" ht="30" customHeight="1">
      <c r="A74" s="477">
        <f t="shared" si="2"/>
        <v>40</v>
      </c>
      <c r="B74" s="610" t="s">
        <v>48</v>
      </c>
      <c r="C74" s="633">
        <f>+E74</f>
        <v>-4390001</v>
      </c>
      <c r="D74" s="633"/>
      <c r="E74" s="633">
        <v>-4390001</v>
      </c>
      <c r="F74" s="633"/>
      <c r="G74" s="633"/>
      <c r="H74" s="612" t="s">
        <v>769</v>
      </c>
    </row>
    <row r="75" spans="1:10" ht="20.25" customHeight="1">
      <c r="A75" s="477">
        <f t="shared" si="2"/>
        <v>41</v>
      </c>
      <c r="B75" s="613" t="s">
        <v>784</v>
      </c>
      <c r="C75" s="614">
        <f>SUBTOTAL(9,C65:C74)</f>
        <v>-5130959</v>
      </c>
      <c r="D75" s="614">
        <f>SUM(D65:D74)</f>
        <v>0</v>
      </c>
      <c r="E75" s="614">
        <f>SUM(E65:E74)</f>
        <v>-5130959</v>
      </c>
      <c r="F75" s="614">
        <f>SUM(F65:F74)</f>
        <v>0</v>
      </c>
      <c r="G75" s="614">
        <f>SUM(G65:G74)</f>
        <v>0</v>
      </c>
      <c r="H75" s="607"/>
    </row>
    <row r="76" spans="1:10" ht="20.25" customHeight="1">
      <c r="A76" s="477">
        <f t="shared" si="2"/>
        <v>42</v>
      </c>
      <c r="B76" s="613" t="s">
        <v>771</v>
      </c>
      <c r="C76" s="618">
        <f>+E76</f>
        <v>-740958</v>
      </c>
      <c r="D76" s="618"/>
      <c r="E76" s="618">
        <v>-740958</v>
      </c>
      <c r="F76" s="618"/>
      <c r="G76" s="618"/>
      <c r="H76" s="607"/>
    </row>
    <row r="77" spans="1:10" ht="20.25" customHeight="1">
      <c r="A77" s="477">
        <f t="shared" si="2"/>
        <v>43</v>
      </c>
      <c r="B77" s="638" t="s">
        <v>772</v>
      </c>
      <c r="C77" s="639"/>
      <c r="D77" s="639"/>
      <c r="E77" s="639"/>
      <c r="F77" s="639"/>
      <c r="G77" s="639"/>
      <c r="H77" s="622"/>
    </row>
    <row r="78" spans="1:10" ht="20.25" customHeight="1" thickBot="1">
      <c r="A78" s="477">
        <f t="shared" si="2"/>
        <v>44</v>
      </c>
      <c r="B78" s="623" t="s">
        <v>48</v>
      </c>
      <c r="C78" s="640">
        <f>+C75-C76-C77</f>
        <v>-4390001</v>
      </c>
      <c r="D78" s="640">
        <f>+D75-D76-D77</f>
        <v>0</v>
      </c>
      <c r="E78" s="640">
        <f>+E75-E76-E77</f>
        <v>-4390001</v>
      </c>
      <c r="F78" s="640">
        <f>+F75-F76-F77</f>
        <v>0</v>
      </c>
      <c r="G78" s="640">
        <f>+G75-G76-G77</f>
        <v>0</v>
      </c>
      <c r="H78" s="625"/>
    </row>
    <row r="79" spans="1:10" ht="20.25" customHeight="1" thickTop="1">
      <c r="B79" s="477" t="s">
        <v>785</v>
      </c>
      <c r="E79" s="476"/>
      <c r="F79" s="476"/>
      <c r="H79" s="641"/>
    </row>
    <row r="80" spans="1:10" ht="20.25" customHeight="1">
      <c r="B80" s="944" t="s">
        <v>774</v>
      </c>
      <c r="C80" s="944"/>
      <c r="D80" s="944"/>
      <c r="E80" s="944"/>
      <c r="F80" s="944"/>
      <c r="G80" s="944"/>
    </row>
    <row r="81" spans="2:9" ht="20.25" customHeight="1">
      <c r="B81" s="472" t="s">
        <v>775</v>
      </c>
      <c r="F81" s="476"/>
      <c r="G81" s="476"/>
    </row>
    <row r="82" spans="2:9" ht="20.25" customHeight="1">
      <c r="B82" s="472" t="s">
        <v>776</v>
      </c>
      <c r="F82" s="476"/>
      <c r="G82" s="476"/>
    </row>
    <row r="83" spans="2:9" ht="20.25" customHeight="1">
      <c r="B83" s="472" t="s">
        <v>777</v>
      </c>
      <c r="F83" s="476"/>
      <c r="G83" s="476"/>
    </row>
    <row r="84" spans="2:9" ht="35.25" customHeight="1">
      <c r="B84" s="944" t="s">
        <v>778</v>
      </c>
      <c r="C84" s="944"/>
      <c r="D84" s="944"/>
      <c r="E84" s="944"/>
      <c r="F84" s="944"/>
      <c r="G84" s="944"/>
    </row>
    <row r="86" spans="2:9" ht="15.75" customHeight="1">
      <c r="B86" s="642"/>
      <c r="C86" s="642"/>
      <c r="D86" s="642"/>
      <c r="E86" s="642"/>
      <c r="F86" s="642"/>
      <c r="G86" s="642"/>
      <c r="H86" s="642"/>
    </row>
    <row r="87" spans="2:9">
      <c r="B87" s="931"/>
      <c r="C87" s="931"/>
      <c r="D87" s="931"/>
      <c r="E87" s="931"/>
      <c r="F87" s="931"/>
      <c r="G87" s="931"/>
      <c r="H87" s="931"/>
    </row>
    <row r="88" spans="2:9">
      <c r="B88" s="477"/>
    </row>
    <row r="89" spans="2:9">
      <c r="B89" s="477"/>
    </row>
    <row r="90" spans="2:9" ht="15.75" customHeight="1">
      <c r="B90" s="477"/>
    </row>
    <row r="91" spans="2:9">
      <c r="B91" s="477"/>
      <c r="D91" s="601"/>
      <c r="E91" s="601"/>
      <c r="F91" s="601"/>
      <c r="G91" s="601"/>
      <c r="H91" s="601"/>
      <c r="I91" s="602"/>
    </row>
    <row r="92" spans="2:9">
      <c r="B92" s="477"/>
      <c r="D92" s="601"/>
      <c r="E92" s="601"/>
      <c r="F92" s="601"/>
      <c r="G92" s="601"/>
      <c r="H92" s="601"/>
      <c r="I92" s="602"/>
    </row>
    <row r="93" spans="2:9">
      <c r="D93" s="476"/>
      <c r="E93" s="476"/>
    </row>
    <row r="94" spans="2:9">
      <c r="D94" s="382"/>
      <c r="E94" s="382"/>
    </row>
    <row r="95" spans="2:9">
      <c r="D95" s="382"/>
      <c r="E95" s="382"/>
    </row>
    <row r="96" spans="2:9">
      <c r="D96" s="382"/>
      <c r="E96" s="382"/>
    </row>
    <row r="97" spans="2:5">
      <c r="D97" s="382"/>
      <c r="E97" s="382"/>
    </row>
    <row r="98" spans="2:5">
      <c r="D98" s="382"/>
      <c r="E98" s="382"/>
    </row>
    <row r="99" spans="2:5">
      <c r="D99" s="382"/>
      <c r="E99" s="382"/>
    </row>
    <row r="100" spans="2:5">
      <c r="D100" s="382"/>
      <c r="E100" s="382"/>
    </row>
    <row r="101" spans="2:5">
      <c r="D101" s="382"/>
      <c r="E101" s="382"/>
    </row>
    <row r="102" spans="2:5">
      <c r="D102" s="382"/>
      <c r="E102" s="382"/>
    </row>
    <row r="103" spans="2:5">
      <c r="D103" s="382"/>
      <c r="E103" s="382"/>
    </row>
    <row r="104" spans="2:5">
      <c r="B104" s="477"/>
      <c r="D104" s="382"/>
      <c r="E104" s="382"/>
    </row>
    <row r="105" spans="2:5">
      <c r="D105" s="382"/>
      <c r="E105" s="382"/>
    </row>
    <row r="106" spans="2:5">
      <c r="B106" s="477"/>
      <c r="D106" s="382"/>
      <c r="E106" s="382"/>
    </row>
    <row r="210" spans="9:9">
      <c r="I210" s="595"/>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5" bottom="0.5" header="0.3" footer="0.3"/>
  <pageSetup scale="48" fitToHeight="0" orientation="landscape" r:id="rId1"/>
  <headerFooter alignWithMargins="0"/>
  <rowBreaks count="2" manualBreakCount="2">
    <brk id="39" max="7" man="1"/>
    <brk id="84" max="16383" man="1"/>
  </rowBreaks>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0713D-12FA-4E97-A9A8-910DDBC53046}">
  <sheetPr>
    <tabColor rgb="FF92D050"/>
    <pageSetUpPr fitToPage="1"/>
  </sheetPr>
  <dimension ref="A1:U210"/>
  <sheetViews>
    <sheetView view="pageBreakPreview" zoomScale="70" zoomScaleNormal="50" zoomScaleSheetLayoutView="70" workbookViewId="0">
      <selection activeCell="E43" sqref="E43"/>
    </sheetView>
  </sheetViews>
  <sheetFormatPr defaultColWidth="8.81640625" defaultRowHeight="15.6"/>
  <cols>
    <col min="1" max="1" width="5" style="477" customWidth="1"/>
    <col min="2" max="2" width="49.1796875" style="472" customWidth="1"/>
    <col min="3" max="3" width="22" style="477" customWidth="1"/>
    <col min="4" max="4" width="15" style="477" customWidth="1"/>
    <col min="5" max="5" width="12.54296875" style="477" customWidth="1"/>
    <col min="6" max="6" width="11.54296875" style="477" customWidth="1"/>
    <col min="7" max="7" width="14.81640625" style="477" customWidth="1"/>
    <col min="8" max="8" width="79.453125" style="477" customWidth="1"/>
    <col min="9" max="16384" width="8.81640625" style="577"/>
  </cols>
  <sheetData>
    <row r="1" spans="1:21" ht="17.399999999999999">
      <c r="B1" s="931" t="s">
        <v>786</v>
      </c>
      <c r="C1" s="931"/>
      <c r="D1" s="931"/>
      <c r="E1" s="931"/>
      <c r="F1" s="931"/>
      <c r="G1" s="931"/>
      <c r="H1" s="931"/>
      <c r="I1" s="579"/>
      <c r="J1" s="579"/>
    </row>
    <row r="2" spans="1:21" ht="17.399999999999999">
      <c r="B2" s="931" t="str">
        <f>'6e-ADIT True-up'!A3:A3</f>
        <v>For the 12 months ended 12/31/2022</v>
      </c>
      <c r="C2" s="931"/>
      <c r="D2" s="931"/>
      <c r="E2" s="931"/>
      <c r="F2" s="931"/>
      <c r="G2" s="931"/>
      <c r="H2" s="931"/>
      <c r="I2" s="579"/>
      <c r="J2" s="579"/>
    </row>
    <row r="3" spans="1:21" ht="8.25" customHeight="1">
      <c r="B3" s="931"/>
      <c r="C3" s="931"/>
      <c r="D3" s="931"/>
      <c r="E3" s="931"/>
      <c r="F3" s="931"/>
      <c r="G3" s="931"/>
      <c r="H3" s="943"/>
      <c r="I3" s="579"/>
      <c r="J3" s="579"/>
    </row>
    <row r="4" spans="1:21" ht="8.25" customHeight="1">
      <c r="I4" s="579"/>
      <c r="J4" s="579"/>
    </row>
    <row r="5" spans="1:21" ht="8.25" customHeight="1">
      <c r="D5" s="476"/>
      <c r="E5" s="476"/>
      <c r="G5" s="476"/>
    </row>
    <row r="6" spans="1:21" ht="8.25" customHeight="1">
      <c r="D6" s="476"/>
      <c r="E6" s="476"/>
      <c r="F6" s="476"/>
      <c r="G6" s="476"/>
      <c r="U6" s="578"/>
    </row>
    <row r="7" spans="1:21" ht="34.5" customHeight="1">
      <c r="A7" s="580" t="s">
        <v>694</v>
      </c>
      <c r="B7" s="580" t="s">
        <v>695</v>
      </c>
      <c r="C7" s="581"/>
      <c r="D7" s="582"/>
      <c r="E7" s="643" t="s">
        <v>389</v>
      </c>
      <c r="F7" s="583" t="s">
        <v>696</v>
      </c>
      <c r="G7" s="583" t="s">
        <v>697</v>
      </c>
      <c r="H7" s="581"/>
      <c r="U7" s="578"/>
    </row>
    <row r="8" spans="1:21">
      <c r="A8" s="584"/>
      <c r="L8" s="644"/>
    </row>
    <row r="9" spans="1:21" ht="20.25" customHeight="1">
      <c r="A9" s="584">
        <v>1</v>
      </c>
      <c r="B9" s="477" t="s">
        <v>779</v>
      </c>
      <c r="E9" s="151">
        <f>+E54</f>
        <v>-2862058</v>
      </c>
      <c r="F9" s="151">
        <f>+F54</f>
        <v>0</v>
      </c>
      <c r="G9" s="151">
        <f>+G54</f>
        <v>0</v>
      </c>
      <c r="H9" s="477" t="s">
        <v>762</v>
      </c>
    </row>
    <row r="10" spans="1:21" ht="20.25" customHeight="1">
      <c r="A10" s="584">
        <f>+A9+1</f>
        <v>2</v>
      </c>
      <c r="B10" s="477" t="s">
        <v>727</v>
      </c>
      <c r="E10" s="151">
        <f>+E78</f>
        <v>-6489735</v>
      </c>
      <c r="F10" s="151">
        <f>+F78</f>
        <v>0</v>
      </c>
      <c r="G10" s="151">
        <f>+G78</f>
        <v>0</v>
      </c>
      <c r="H10" s="477" t="s">
        <v>763</v>
      </c>
    </row>
    <row r="11" spans="1:21" ht="20.25" customHeight="1">
      <c r="A11" s="584">
        <f>+A10+1</f>
        <v>3</v>
      </c>
      <c r="B11" s="477" t="s">
        <v>702</v>
      </c>
      <c r="E11" s="151">
        <f>E32</f>
        <v>217053</v>
      </c>
      <c r="F11" s="151">
        <f>F32</f>
        <v>0</v>
      </c>
      <c r="G11" s="151">
        <f>G32</f>
        <v>0</v>
      </c>
      <c r="H11" s="477" t="s">
        <v>764</v>
      </c>
    </row>
    <row r="12" spans="1:21" ht="20.25" customHeight="1">
      <c r="A12" s="584">
        <f>+A11+1</f>
        <v>4</v>
      </c>
      <c r="B12" s="477" t="s">
        <v>704</v>
      </c>
      <c r="E12" s="151">
        <f>SUM(E9:E11)</f>
        <v>-9134740</v>
      </c>
      <c r="F12" s="151">
        <f>SUM(F9:F11)</f>
        <v>0</v>
      </c>
      <c r="G12" s="151">
        <f>SUM(G9:G11)</f>
        <v>0</v>
      </c>
      <c r="H12" s="586" t="s">
        <v>765</v>
      </c>
    </row>
    <row r="13" spans="1:21">
      <c r="A13" s="584"/>
      <c r="B13" s="477"/>
      <c r="D13" s="586"/>
      <c r="H13" s="27"/>
    </row>
    <row r="14" spans="1:21">
      <c r="A14" s="584"/>
      <c r="B14" s="477"/>
      <c r="H14" s="587"/>
    </row>
    <row r="15" spans="1:21" ht="30" customHeight="1">
      <c r="A15" s="584"/>
      <c r="B15" s="924" t="s">
        <v>766</v>
      </c>
      <c r="C15" s="924"/>
      <c r="D15" s="924"/>
      <c r="E15" s="924"/>
      <c r="F15" s="924"/>
      <c r="G15" s="924"/>
      <c r="H15" s="924"/>
    </row>
    <row r="16" spans="1:21">
      <c r="A16" s="584"/>
    </row>
    <row r="17" spans="1:8">
      <c r="A17" s="584"/>
      <c r="B17" s="476" t="s">
        <v>186</v>
      </c>
      <c r="C17" s="476" t="s">
        <v>188</v>
      </c>
      <c r="D17" s="476" t="s">
        <v>190</v>
      </c>
      <c r="E17" s="476" t="s">
        <v>193</v>
      </c>
      <c r="F17" s="476" t="s">
        <v>196</v>
      </c>
      <c r="G17" s="476" t="s">
        <v>198</v>
      </c>
      <c r="H17" s="476" t="s">
        <v>207</v>
      </c>
    </row>
    <row r="18" spans="1:8" ht="31.2">
      <c r="A18" s="584"/>
      <c r="B18" s="472" t="s">
        <v>702</v>
      </c>
      <c r="C18" s="478" t="s">
        <v>48</v>
      </c>
      <c r="D18" s="478" t="s">
        <v>767</v>
      </c>
      <c r="E18" s="478" t="s">
        <v>389</v>
      </c>
      <c r="F18" s="478" t="s">
        <v>696</v>
      </c>
      <c r="G18" s="478" t="s">
        <v>697</v>
      </c>
      <c r="H18" s="478" t="s">
        <v>768</v>
      </c>
    </row>
    <row r="19" spans="1:8" ht="22.5" customHeight="1">
      <c r="A19" s="584">
        <f>A12+1</f>
        <v>5</v>
      </c>
      <c r="B19" s="604"/>
      <c r="C19" s="605">
        <f>+E19</f>
        <v>217053</v>
      </c>
      <c r="D19" s="606"/>
      <c r="E19" s="606">
        <v>217053</v>
      </c>
      <c r="F19" s="606"/>
      <c r="G19" s="606"/>
      <c r="H19" s="607"/>
    </row>
    <row r="20" spans="1:8" ht="22.5" customHeight="1">
      <c r="A20" s="584">
        <f t="shared" ref="A20:A32" si="0">+A19+1</f>
        <v>6</v>
      </c>
      <c r="B20" s="608"/>
      <c r="C20" s="605"/>
      <c r="D20" s="606"/>
      <c r="E20" s="606"/>
      <c r="F20" s="606"/>
      <c r="G20" s="606"/>
      <c r="H20" s="607"/>
    </row>
    <row r="21" spans="1:8" ht="22.5" customHeight="1">
      <c r="A21" s="584">
        <f t="shared" si="0"/>
        <v>7</v>
      </c>
      <c r="B21" s="608"/>
      <c r="C21" s="605"/>
      <c r="D21" s="606"/>
      <c r="E21" s="606"/>
      <c r="F21" s="606"/>
      <c r="G21" s="606"/>
      <c r="H21" s="607"/>
    </row>
    <row r="22" spans="1:8" ht="22.5" customHeight="1">
      <c r="A22" s="584">
        <f t="shared" si="0"/>
        <v>8</v>
      </c>
      <c r="B22" s="608"/>
      <c r="C22" s="605"/>
      <c r="D22" s="606"/>
      <c r="E22" s="606"/>
      <c r="F22" s="606"/>
      <c r="G22" s="606"/>
      <c r="H22" s="607"/>
    </row>
    <row r="23" spans="1:8" ht="22.5" customHeight="1">
      <c r="A23" s="584">
        <f t="shared" si="0"/>
        <v>9</v>
      </c>
      <c r="B23" s="608"/>
      <c r="C23" s="605"/>
      <c r="D23" s="606"/>
      <c r="E23" s="606"/>
      <c r="F23" s="606"/>
      <c r="G23" s="606"/>
      <c r="H23" s="607"/>
    </row>
    <row r="24" spans="1:8" ht="22.5" customHeight="1">
      <c r="A24" s="584">
        <f t="shared" si="0"/>
        <v>10</v>
      </c>
      <c r="B24" s="608"/>
      <c r="C24" s="605"/>
      <c r="D24" s="606"/>
      <c r="E24" s="606"/>
      <c r="F24" s="606"/>
      <c r="G24" s="606"/>
      <c r="H24" s="607"/>
    </row>
    <row r="25" spans="1:8" ht="22.5" customHeight="1">
      <c r="A25" s="584">
        <f t="shared" si="0"/>
        <v>11</v>
      </c>
      <c r="B25" s="608"/>
      <c r="C25" s="605"/>
      <c r="D25" s="606"/>
      <c r="E25" s="606"/>
      <c r="F25" s="606"/>
      <c r="G25" s="606"/>
      <c r="H25" s="607"/>
    </row>
    <row r="26" spans="1:8" ht="22.5" customHeight="1">
      <c r="A26" s="584">
        <f t="shared" si="0"/>
        <v>12</v>
      </c>
      <c r="B26" s="608"/>
      <c r="C26" s="605"/>
      <c r="D26" s="609"/>
      <c r="E26" s="606"/>
      <c r="F26" s="606"/>
      <c r="G26" s="606"/>
      <c r="H26" s="607"/>
    </row>
    <row r="27" spans="1:8" ht="22.5" customHeight="1">
      <c r="A27" s="584">
        <f t="shared" si="0"/>
        <v>13</v>
      </c>
      <c r="B27" s="608"/>
      <c r="C27" s="605"/>
      <c r="D27" s="606"/>
      <c r="E27" s="606"/>
      <c r="F27" s="606"/>
      <c r="G27" s="606"/>
      <c r="H27" s="607"/>
    </row>
    <row r="28" spans="1:8" ht="30" customHeight="1">
      <c r="A28" s="584">
        <f t="shared" si="0"/>
        <v>14</v>
      </c>
      <c r="B28" s="610" t="s">
        <v>48</v>
      </c>
      <c r="C28" s="611"/>
      <c r="D28" s="611"/>
      <c r="E28" s="611"/>
      <c r="F28" s="611"/>
      <c r="G28" s="611"/>
      <c r="H28" s="612" t="s">
        <v>769</v>
      </c>
    </row>
    <row r="29" spans="1:8" ht="20.25" customHeight="1">
      <c r="A29" s="584">
        <f t="shared" si="0"/>
        <v>15</v>
      </c>
      <c r="B29" s="613" t="s">
        <v>787</v>
      </c>
      <c r="C29" s="614">
        <f>SUBTOTAL(9,C19:C28)</f>
        <v>217053</v>
      </c>
      <c r="D29" s="526">
        <f>SUM(D19:D28)</f>
        <v>0</v>
      </c>
      <c r="E29" s="526">
        <f>SUM(E19:E28)</f>
        <v>217053</v>
      </c>
      <c r="F29" s="526">
        <f>SUM(F19:F28)</f>
        <v>0</v>
      </c>
      <c r="G29" s="526">
        <f>SUM(G19:G28)</f>
        <v>0</v>
      </c>
      <c r="H29" s="615"/>
    </row>
    <row r="30" spans="1:8" ht="20.25" customHeight="1">
      <c r="A30" s="584">
        <f t="shared" si="0"/>
        <v>16</v>
      </c>
      <c r="B30" s="616" t="s">
        <v>771</v>
      </c>
      <c r="C30" s="617"/>
      <c r="D30" s="617"/>
      <c r="E30" s="617"/>
      <c r="F30" s="618"/>
      <c r="G30" s="619"/>
      <c r="H30" s="607"/>
    </row>
    <row r="31" spans="1:8" ht="20.25" customHeight="1">
      <c r="A31" s="584">
        <f t="shared" si="0"/>
        <v>17</v>
      </c>
      <c r="B31" s="620" t="s">
        <v>772</v>
      </c>
      <c r="C31" s="621"/>
      <c r="D31" s="621"/>
      <c r="E31" s="621"/>
      <c r="F31" s="621"/>
      <c r="G31" s="621"/>
      <c r="H31" s="622"/>
    </row>
    <row r="32" spans="1:8" ht="20.25" customHeight="1" thickBot="1">
      <c r="A32" s="584">
        <f t="shared" si="0"/>
        <v>18</v>
      </c>
      <c r="B32" s="623" t="s">
        <v>48</v>
      </c>
      <c r="C32" s="624">
        <f>+C29-C30-C31</f>
        <v>217053</v>
      </c>
      <c r="D32" s="624">
        <f>+D29-D30-D31</f>
        <v>0</v>
      </c>
      <c r="E32" s="624">
        <f>+E29-E30-E31</f>
        <v>217053</v>
      </c>
      <c r="F32" s="624">
        <f>+F29-F30-F31</f>
        <v>0</v>
      </c>
      <c r="G32" s="624">
        <f>+G29-G30-G31</f>
        <v>0</v>
      </c>
      <c r="H32" s="625"/>
    </row>
    <row r="33" spans="1:8" ht="20.25" customHeight="1" thickTop="1">
      <c r="A33" s="584"/>
      <c r="B33" s="477" t="s">
        <v>773</v>
      </c>
      <c r="C33" s="586"/>
      <c r="D33" s="626"/>
      <c r="E33" s="476"/>
      <c r="G33" s="627"/>
    </row>
    <row r="34" spans="1:8" ht="20.25" customHeight="1">
      <c r="A34" s="584"/>
      <c r="B34" s="944" t="s">
        <v>774</v>
      </c>
      <c r="C34" s="944"/>
      <c r="D34" s="944"/>
      <c r="E34" s="944"/>
      <c r="F34" s="944"/>
      <c r="G34" s="944"/>
    </row>
    <row r="35" spans="1:8" ht="20.25" customHeight="1">
      <c r="A35" s="584"/>
      <c r="B35" s="472" t="s">
        <v>775</v>
      </c>
      <c r="F35" s="476"/>
      <c r="G35" s="476"/>
    </row>
    <row r="36" spans="1:8" ht="20.25" customHeight="1">
      <c r="A36" s="584"/>
      <c r="B36" s="472" t="s">
        <v>776</v>
      </c>
      <c r="F36" s="476"/>
      <c r="G36" s="476"/>
    </row>
    <row r="37" spans="1:8" ht="20.25" customHeight="1">
      <c r="A37" s="584"/>
      <c r="B37" s="472" t="s">
        <v>777</v>
      </c>
      <c r="F37" s="476"/>
      <c r="G37" s="476"/>
    </row>
    <row r="38" spans="1:8" ht="33" customHeight="1">
      <c r="A38" s="584"/>
      <c r="B38" s="944" t="s">
        <v>788</v>
      </c>
      <c r="C38" s="944"/>
      <c r="D38" s="944"/>
      <c r="E38" s="944"/>
      <c r="F38" s="944"/>
      <c r="G38" s="944"/>
      <c r="H38" s="628"/>
    </row>
    <row r="39" spans="1:8">
      <c r="A39" s="584"/>
      <c r="B39" s="628"/>
      <c r="C39" s="628"/>
      <c r="D39" s="628"/>
      <c r="E39" s="628"/>
      <c r="F39" s="628"/>
      <c r="G39" s="628"/>
      <c r="H39" s="628"/>
    </row>
    <row r="40" spans="1:8">
      <c r="A40" s="584"/>
      <c r="B40" s="477"/>
    </row>
    <row r="41" spans="1:8">
      <c r="A41" s="584"/>
      <c r="B41" s="476" t="s">
        <v>186</v>
      </c>
      <c r="C41" s="476" t="s">
        <v>188</v>
      </c>
      <c r="D41" s="476" t="s">
        <v>190</v>
      </c>
      <c r="E41" s="476" t="s">
        <v>193</v>
      </c>
      <c r="F41" s="476" t="s">
        <v>196</v>
      </c>
      <c r="G41" s="476" t="s">
        <v>198</v>
      </c>
      <c r="H41" s="476" t="s">
        <v>207</v>
      </c>
    </row>
    <row r="42" spans="1:8" ht="31.2">
      <c r="A42" s="584"/>
      <c r="B42" s="472" t="s">
        <v>721</v>
      </c>
      <c r="C42" s="478" t="s">
        <v>48</v>
      </c>
      <c r="D42" s="478" t="s">
        <v>767</v>
      </c>
      <c r="E42" s="478" t="s">
        <v>389</v>
      </c>
      <c r="F42" s="478" t="s">
        <v>696</v>
      </c>
      <c r="G42" s="478" t="s">
        <v>697</v>
      </c>
      <c r="H42" s="478" t="s">
        <v>768</v>
      </c>
    </row>
    <row r="43" spans="1:8" ht="19.5" customHeight="1">
      <c r="A43" s="584">
        <f>A32+1</f>
        <v>19</v>
      </c>
      <c r="B43" s="608" t="s">
        <v>780</v>
      </c>
      <c r="C43" s="605">
        <f>+E43</f>
        <v>-2022801</v>
      </c>
      <c r="D43" s="606"/>
      <c r="E43" s="606">
        <v>-2022801</v>
      </c>
      <c r="F43" s="606"/>
      <c r="G43" s="606"/>
      <c r="H43" s="607"/>
    </row>
    <row r="44" spans="1:8" ht="19.5" customHeight="1">
      <c r="A44" s="584">
        <f t="shared" ref="A44:A54" si="1">+A43+1</f>
        <v>20</v>
      </c>
      <c r="B44" s="608"/>
      <c r="C44" s="605"/>
      <c r="D44" s="606"/>
      <c r="E44" s="606"/>
      <c r="F44" s="606"/>
      <c r="G44" s="606"/>
      <c r="H44" s="607"/>
    </row>
    <row r="45" spans="1:8" ht="19.5" customHeight="1">
      <c r="A45" s="584">
        <f t="shared" si="1"/>
        <v>21</v>
      </c>
      <c r="B45" s="608"/>
      <c r="C45" s="605"/>
      <c r="D45" s="606"/>
      <c r="E45" s="606"/>
      <c r="F45" s="606"/>
      <c r="G45" s="606"/>
      <c r="H45" s="607"/>
    </row>
    <row r="46" spans="1:8" ht="19.5" customHeight="1">
      <c r="A46" s="584">
        <f t="shared" si="1"/>
        <v>22</v>
      </c>
      <c r="B46" s="608"/>
      <c r="C46" s="605"/>
      <c r="D46" s="606"/>
      <c r="E46" s="606"/>
      <c r="F46" s="606"/>
      <c r="G46" s="606"/>
      <c r="H46" s="607"/>
    </row>
    <row r="47" spans="1:8" ht="19.5" customHeight="1">
      <c r="A47" s="584">
        <f t="shared" si="1"/>
        <v>23</v>
      </c>
      <c r="B47" s="608"/>
      <c r="C47" s="606"/>
      <c r="D47" s="606"/>
      <c r="E47" s="606"/>
      <c r="F47" s="606"/>
      <c r="G47" s="606"/>
      <c r="H47" s="607"/>
    </row>
    <row r="48" spans="1:8" ht="19.5" customHeight="1">
      <c r="A48" s="584">
        <f t="shared" si="1"/>
        <v>24</v>
      </c>
      <c r="B48" s="608"/>
      <c r="C48" s="606"/>
      <c r="D48" s="606"/>
      <c r="E48" s="606"/>
      <c r="F48" s="606"/>
      <c r="G48" s="606"/>
      <c r="H48" s="607"/>
    </row>
    <row r="49" spans="1:8" ht="19.5" customHeight="1">
      <c r="A49" s="584">
        <f t="shared" si="1"/>
        <v>25</v>
      </c>
      <c r="B49" s="630"/>
      <c r="C49" s="631"/>
      <c r="D49" s="631"/>
      <c r="E49" s="631"/>
      <c r="F49" s="631"/>
      <c r="G49" s="631"/>
      <c r="H49" s="607"/>
    </row>
    <row r="50" spans="1:8" ht="19.5" customHeight="1">
      <c r="A50" s="584">
        <f t="shared" si="1"/>
        <v>26</v>
      </c>
      <c r="B50" s="610" t="s">
        <v>48</v>
      </c>
      <c r="C50" s="645">
        <f>+E50</f>
        <v>-2862058</v>
      </c>
      <c r="D50" s="645"/>
      <c r="E50" s="633">
        <v>-2862058</v>
      </c>
      <c r="F50" s="645"/>
      <c r="G50" s="645"/>
      <c r="H50" s="612"/>
    </row>
    <row r="51" spans="1:8" ht="19.5" customHeight="1">
      <c r="A51" s="584">
        <f t="shared" si="1"/>
        <v>27</v>
      </c>
      <c r="B51" s="634" t="s">
        <v>789</v>
      </c>
      <c r="C51" s="526">
        <f>SUBTOTAL(9,C43:C50)</f>
        <v>-4884859</v>
      </c>
      <c r="D51" s="526">
        <f>SUM(D43:D50)</f>
        <v>0</v>
      </c>
      <c r="E51" s="526">
        <f>SUM(E43:E50)</f>
        <v>-4884859</v>
      </c>
      <c r="F51" s="526">
        <f>SUM(F43:F50)</f>
        <v>0</v>
      </c>
      <c r="G51" s="526">
        <f>SUM(G43:G50)</f>
        <v>0</v>
      </c>
      <c r="H51" s="615"/>
    </row>
    <row r="52" spans="1:8" ht="19.5" customHeight="1">
      <c r="A52" s="584">
        <f t="shared" si="1"/>
        <v>28</v>
      </c>
      <c r="B52" s="634" t="s">
        <v>771</v>
      </c>
      <c r="C52" s="617">
        <f>+E52</f>
        <v>-2022801</v>
      </c>
      <c r="D52" s="617"/>
      <c r="E52" s="617">
        <f>E43</f>
        <v>-2022801</v>
      </c>
      <c r="F52" s="617"/>
      <c r="G52" s="617"/>
      <c r="H52" s="607"/>
    </row>
    <row r="53" spans="1:8" ht="19.5" customHeight="1">
      <c r="A53" s="584">
        <f t="shared" si="1"/>
        <v>29</v>
      </c>
      <c r="B53" s="635" t="s">
        <v>772</v>
      </c>
      <c r="C53" s="621"/>
      <c r="D53" s="621"/>
      <c r="E53" s="621"/>
      <c r="F53" s="621"/>
      <c r="G53" s="621"/>
      <c r="H53" s="622"/>
    </row>
    <row r="54" spans="1:8" ht="19.5" customHeight="1" thickBot="1">
      <c r="A54" s="584">
        <f t="shared" si="1"/>
        <v>30</v>
      </c>
      <c r="B54" s="623" t="s">
        <v>48</v>
      </c>
      <c r="C54" s="624">
        <f>+C51-C52-C53</f>
        <v>-2862058</v>
      </c>
      <c r="D54" s="624">
        <f>+D51-D52-D53</f>
        <v>0</v>
      </c>
      <c r="E54" s="624">
        <f>+E51-E52-E53</f>
        <v>-2862058</v>
      </c>
      <c r="F54" s="624">
        <f>+F51-F52-F53</f>
        <v>0</v>
      </c>
      <c r="G54" s="624">
        <f>+G51-G52-G53</f>
        <v>0</v>
      </c>
      <c r="H54" s="625"/>
    </row>
    <row r="55" spans="1:8" ht="20.25" customHeight="1" thickTop="1">
      <c r="A55" s="584"/>
      <c r="B55" s="477" t="s">
        <v>782</v>
      </c>
      <c r="D55" s="476"/>
      <c r="E55" s="626"/>
      <c r="G55" s="628"/>
    </row>
    <row r="56" spans="1:8" ht="20.25" customHeight="1">
      <c r="A56" s="584"/>
      <c r="B56" s="944" t="s">
        <v>774</v>
      </c>
      <c r="C56" s="944"/>
      <c r="D56" s="944"/>
      <c r="E56" s="944"/>
      <c r="F56" s="944"/>
      <c r="G56" s="944"/>
    </row>
    <row r="57" spans="1:8" ht="20.25" customHeight="1">
      <c r="A57" s="584"/>
      <c r="B57" s="472" t="s">
        <v>775</v>
      </c>
      <c r="F57" s="476"/>
      <c r="G57" s="476"/>
    </row>
    <row r="58" spans="1:8" ht="20.25" customHeight="1">
      <c r="A58" s="584"/>
      <c r="B58" s="472" t="s">
        <v>776</v>
      </c>
      <c r="F58" s="476"/>
      <c r="G58" s="476"/>
    </row>
    <row r="59" spans="1:8" ht="20.25" customHeight="1">
      <c r="A59" s="584"/>
      <c r="B59" s="472" t="s">
        <v>777</v>
      </c>
      <c r="F59" s="476"/>
      <c r="G59" s="476"/>
    </row>
    <row r="60" spans="1:8" ht="33.75" customHeight="1">
      <c r="A60" s="584"/>
      <c r="B60" s="944" t="s">
        <v>778</v>
      </c>
      <c r="C60" s="944"/>
      <c r="D60" s="944"/>
      <c r="E60" s="944"/>
      <c r="F60" s="944"/>
      <c r="G60" s="944"/>
      <c r="H60" s="628"/>
    </row>
    <row r="61" spans="1:8" ht="11.25" customHeight="1">
      <c r="A61" s="584"/>
      <c r="H61" s="628"/>
    </row>
    <row r="62" spans="1:8" ht="11.25" customHeight="1">
      <c r="A62" s="584"/>
      <c r="H62" s="628"/>
    </row>
    <row r="63" spans="1:8">
      <c r="A63" s="584"/>
      <c r="B63" s="476" t="s">
        <v>186</v>
      </c>
      <c r="C63" s="476" t="s">
        <v>188</v>
      </c>
      <c r="D63" s="476" t="s">
        <v>190</v>
      </c>
      <c r="E63" s="476" t="s">
        <v>193</v>
      </c>
      <c r="F63" s="476" t="s">
        <v>196</v>
      </c>
      <c r="G63" s="476" t="s">
        <v>198</v>
      </c>
      <c r="H63" s="476" t="s">
        <v>207</v>
      </c>
    </row>
    <row r="64" spans="1:8" ht="31.2">
      <c r="A64" s="584"/>
      <c r="B64" s="472" t="s">
        <v>727</v>
      </c>
      <c r="C64" s="478" t="s">
        <v>48</v>
      </c>
      <c r="D64" s="478" t="s">
        <v>767</v>
      </c>
      <c r="E64" s="478" t="s">
        <v>389</v>
      </c>
      <c r="F64" s="478" t="s">
        <v>696</v>
      </c>
      <c r="G64" s="478" t="s">
        <v>697</v>
      </c>
      <c r="H64" s="478" t="s">
        <v>768</v>
      </c>
    </row>
    <row r="65" spans="1:10" ht="16.5" customHeight="1">
      <c r="A65" s="584">
        <f>A54+1</f>
        <v>31</v>
      </c>
      <c r="B65" s="636"/>
      <c r="C65" s="605">
        <f>+E65</f>
        <v>-786005</v>
      </c>
      <c r="D65" s="606"/>
      <c r="E65" s="606">
        <v>-786005</v>
      </c>
      <c r="F65" s="606"/>
      <c r="G65" s="606"/>
      <c r="H65" s="607"/>
    </row>
    <row r="66" spans="1:10" ht="16.5" customHeight="1">
      <c r="A66" s="584">
        <f t="shared" ref="A66:A78" si="2">+A65+1</f>
        <v>32</v>
      </c>
      <c r="B66" s="608"/>
      <c r="C66" s="605"/>
      <c r="D66" s="606"/>
      <c r="E66" s="606"/>
      <c r="F66" s="606"/>
      <c r="G66" s="606"/>
      <c r="H66" s="607"/>
      <c r="J66" s="637"/>
    </row>
    <row r="67" spans="1:10" ht="16.5" customHeight="1">
      <c r="A67" s="584">
        <f t="shared" si="2"/>
        <v>33</v>
      </c>
      <c r="B67" s="608"/>
      <c r="C67" s="605"/>
      <c r="D67" s="606"/>
      <c r="E67" s="606"/>
      <c r="F67" s="606"/>
      <c r="G67" s="606"/>
      <c r="H67" s="607"/>
    </row>
    <row r="68" spans="1:10" ht="16.5" customHeight="1">
      <c r="A68" s="584">
        <f t="shared" si="2"/>
        <v>34</v>
      </c>
      <c r="B68" s="608"/>
      <c r="C68" s="605"/>
      <c r="D68" s="606"/>
      <c r="E68" s="606"/>
      <c r="F68" s="606"/>
      <c r="G68" s="606"/>
      <c r="H68" s="607"/>
    </row>
    <row r="69" spans="1:10" ht="16.5" customHeight="1">
      <c r="A69" s="584">
        <f t="shared" si="2"/>
        <v>35</v>
      </c>
      <c r="B69" s="608"/>
      <c r="C69" s="606"/>
      <c r="D69" s="631"/>
      <c r="E69" s="606"/>
      <c r="F69" s="606"/>
      <c r="G69" s="606"/>
      <c r="H69" s="607"/>
    </row>
    <row r="70" spans="1:10" ht="16.5" customHeight="1">
      <c r="A70" s="584">
        <f t="shared" si="2"/>
        <v>36</v>
      </c>
      <c r="B70" s="608"/>
      <c r="C70" s="606"/>
      <c r="D70" s="631"/>
      <c r="E70" s="606"/>
      <c r="F70" s="606"/>
      <c r="G70" s="606"/>
      <c r="H70" s="607"/>
    </row>
    <row r="71" spans="1:10" ht="16.5" customHeight="1">
      <c r="A71" s="584">
        <f t="shared" si="2"/>
        <v>37</v>
      </c>
      <c r="B71" s="608"/>
      <c r="C71" s="606"/>
      <c r="D71" s="631"/>
      <c r="E71" s="606"/>
      <c r="F71" s="606"/>
      <c r="G71" s="606"/>
      <c r="H71" s="607"/>
    </row>
    <row r="72" spans="1:10" ht="16.5" customHeight="1">
      <c r="A72" s="584">
        <f t="shared" si="2"/>
        <v>38</v>
      </c>
      <c r="B72" s="608"/>
      <c r="C72" s="606"/>
      <c r="D72" s="609"/>
      <c r="E72" s="606"/>
      <c r="F72" s="606"/>
      <c r="G72" s="606"/>
      <c r="H72" s="607"/>
    </row>
    <row r="73" spans="1:10" ht="16.5" customHeight="1">
      <c r="A73" s="584">
        <f t="shared" si="2"/>
        <v>39</v>
      </c>
      <c r="B73" s="608"/>
      <c r="C73" s="606"/>
      <c r="D73" s="606"/>
      <c r="E73" s="606"/>
      <c r="F73" s="606"/>
      <c r="G73" s="606"/>
      <c r="H73" s="607"/>
    </row>
    <row r="74" spans="1:10" ht="21.75" customHeight="1">
      <c r="A74" s="584">
        <f t="shared" si="2"/>
        <v>40</v>
      </c>
      <c r="B74" s="610" t="s">
        <v>790</v>
      </c>
      <c r="C74" s="633">
        <f>+E74</f>
        <v>-6489735</v>
      </c>
      <c r="D74" s="633"/>
      <c r="E74" s="633">
        <v>-6489735</v>
      </c>
      <c r="F74" s="633"/>
      <c r="G74" s="633"/>
      <c r="H74" s="612" t="s">
        <v>769</v>
      </c>
    </row>
    <row r="75" spans="1:10" ht="15.75" customHeight="1">
      <c r="A75" s="584">
        <f t="shared" si="2"/>
        <v>41</v>
      </c>
      <c r="B75" s="613" t="s">
        <v>791</v>
      </c>
      <c r="C75" s="614">
        <f>SUBTOTAL(9,C65:C74)</f>
        <v>-7275740</v>
      </c>
      <c r="D75" s="614">
        <f>SUM(D65:D74)</f>
        <v>0</v>
      </c>
      <c r="E75" s="614">
        <f>SUM(E65:E74)</f>
        <v>-7275740</v>
      </c>
      <c r="F75" s="614">
        <f>SUM(F65:F74)</f>
        <v>0</v>
      </c>
      <c r="G75" s="614">
        <f>SUM(G65:G74)</f>
        <v>0</v>
      </c>
      <c r="H75" s="607"/>
    </row>
    <row r="76" spans="1:10" ht="15.75" customHeight="1">
      <c r="A76" s="584">
        <f t="shared" si="2"/>
        <v>42</v>
      </c>
      <c r="B76" s="613" t="s">
        <v>771</v>
      </c>
      <c r="C76" s="618">
        <f>+E76</f>
        <v>-786005</v>
      </c>
      <c r="D76" s="618"/>
      <c r="E76" s="618">
        <v>-786005</v>
      </c>
      <c r="F76" s="618"/>
      <c r="G76" s="618"/>
      <c r="H76" s="607"/>
    </row>
    <row r="77" spans="1:10" ht="15.75" customHeight="1">
      <c r="A77" s="584">
        <f t="shared" si="2"/>
        <v>43</v>
      </c>
      <c r="B77" s="638" t="s">
        <v>772</v>
      </c>
      <c r="C77" s="639"/>
      <c r="D77" s="639"/>
      <c r="E77" s="639"/>
      <c r="F77" s="639"/>
      <c r="G77" s="639"/>
      <c r="H77" s="622"/>
    </row>
    <row r="78" spans="1:10" ht="15.75" customHeight="1" thickBot="1">
      <c r="A78" s="584">
        <f t="shared" si="2"/>
        <v>44</v>
      </c>
      <c r="B78" s="623" t="s">
        <v>48</v>
      </c>
      <c r="C78" s="640">
        <f>+C75-C76-C77</f>
        <v>-6489735</v>
      </c>
      <c r="D78" s="640">
        <f>+D75-D76-D77</f>
        <v>0</v>
      </c>
      <c r="E78" s="640">
        <f>+E75-E76-E77</f>
        <v>-6489735</v>
      </c>
      <c r="F78" s="640">
        <f>+F75-F76-F77</f>
        <v>0</v>
      </c>
      <c r="G78" s="640">
        <f>+G75-G76-G77</f>
        <v>0</v>
      </c>
      <c r="H78" s="625"/>
    </row>
    <row r="79" spans="1:10" ht="20.25" customHeight="1" thickTop="1">
      <c r="A79" s="584"/>
      <c r="B79" s="477" t="s">
        <v>785</v>
      </c>
      <c r="E79" s="476"/>
      <c r="F79" s="476"/>
      <c r="H79" s="641"/>
    </row>
    <row r="80" spans="1:10" ht="20.25" customHeight="1">
      <c r="A80" s="584"/>
      <c r="B80" s="944" t="s">
        <v>774</v>
      </c>
      <c r="C80" s="944"/>
      <c r="D80" s="944"/>
      <c r="E80" s="944"/>
      <c r="F80" s="944"/>
      <c r="G80" s="944"/>
    </row>
    <row r="81" spans="1:9" ht="20.25" customHeight="1">
      <c r="A81" s="584"/>
      <c r="B81" s="472" t="s">
        <v>775</v>
      </c>
      <c r="F81" s="476"/>
      <c r="G81" s="476"/>
    </row>
    <row r="82" spans="1:9" ht="20.25" customHeight="1">
      <c r="A82" s="584"/>
      <c r="B82" s="472" t="s">
        <v>776</v>
      </c>
      <c r="F82" s="476"/>
      <c r="G82" s="476"/>
    </row>
    <row r="83" spans="1:9" ht="20.25" customHeight="1">
      <c r="A83" s="584"/>
      <c r="B83" s="472" t="s">
        <v>777</v>
      </c>
      <c r="F83" s="476"/>
      <c r="G83" s="476"/>
    </row>
    <row r="84" spans="1:9" ht="32.25" customHeight="1">
      <c r="A84" s="584"/>
      <c r="B84" s="944" t="s">
        <v>778</v>
      </c>
      <c r="C84" s="944"/>
      <c r="D84" s="944"/>
      <c r="E84" s="944"/>
      <c r="F84" s="944"/>
      <c r="G84" s="944"/>
    </row>
    <row r="86" spans="1:9" ht="15.75" customHeight="1">
      <c r="B86" s="642"/>
      <c r="C86" s="642"/>
      <c r="D86" s="642"/>
      <c r="E86" s="642"/>
      <c r="F86" s="642"/>
      <c r="G86" s="642"/>
      <c r="H86" s="642"/>
    </row>
    <row r="87" spans="1:9">
      <c r="B87" s="931"/>
      <c r="C87" s="931"/>
      <c r="D87" s="931"/>
      <c r="E87" s="931"/>
      <c r="F87" s="931"/>
      <c r="G87" s="931"/>
      <c r="H87" s="931"/>
    </row>
    <row r="88" spans="1:9">
      <c r="B88" s="477"/>
    </row>
    <row r="89" spans="1:9">
      <c r="B89" s="477"/>
    </row>
    <row r="90" spans="1:9" ht="15.75" customHeight="1">
      <c r="B90" s="477"/>
    </row>
    <row r="91" spans="1:9">
      <c r="B91" s="477"/>
      <c r="D91" s="601"/>
      <c r="E91" s="601"/>
      <c r="F91" s="601"/>
      <c r="G91" s="601"/>
      <c r="H91" s="601"/>
      <c r="I91" s="602"/>
    </row>
    <row r="92" spans="1:9">
      <c r="B92" s="477"/>
      <c r="D92" s="601"/>
      <c r="E92" s="601"/>
      <c r="F92" s="601"/>
      <c r="G92" s="601"/>
      <c r="H92" s="601"/>
      <c r="I92" s="602"/>
    </row>
    <row r="93" spans="1:9">
      <c r="D93" s="476"/>
      <c r="E93" s="476"/>
    </row>
    <row r="94" spans="1:9">
      <c r="D94" s="382"/>
      <c r="E94" s="382"/>
    </row>
    <row r="95" spans="1:9">
      <c r="D95" s="382"/>
      <c r="E95" s="382"/>
    </row>
    <row r="96" spans="1:9">
      <c r="D96" s="382"/>
      <c r="E96" s="382"/>
    </row>
    <row r="97" spans="2:5">
      <c r="D97" s="382"/>
      <c r="E97" s="382"/>
    </row>
    <row r="98" spans="2:5">
      <c r="D98" s="382"/>
      <c r="E98" s="382"/>
    </row>
    <row r="99" spans="2:5">
      <c r="D99" s="382"/>
      <c r="E99" s="382"/>
    </row>
    <row r="100" spans="2:5">
      <c r="D100" s="382"/>
      <c r="E100" s="382"/>
    </row>
    <row r="101" spans="2:5">
      <c r="D101" s="382"/>
      <c r="E101" s="382"/>
    </row>
    <row r="102" spans="2:5">
      <c r="D102" s="382"/>
      <c r="E102" s="382"/>
    </row>
    <row r="103" spans="2:5">
      <c r="D103" s="382"/>
      <c r="E103" s="382"/>
    </row>
    <row r="104" spans="2:5">
      <c r="B104" s="477"/>
      <c r="D104" s="382"/>
      <c r="E104" s="382"/>
    </row>
    <row r="105" spans="2:5">
      <c r="D105" s="382"/>
      <c r="E105" s="382"/>
    </row>
    <row r="106" spans="2:5">
      <c r="B106" s="477"/>
      <c r="D106" s="382"/>
      <c r="E106" s="382"/>
    </row>
    <row r="210" spans="9:9">
      <c r="I210" s="595"/>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3" bottom="0.3" header="0.33" footer="0.5"/>
  <pageSetup scale="51" fitToHeight="0" orientation="landscape" r:id="rId1"/>
  <headerFooter alignWithMargins="0"/>
  <rowBreaks count="1" manualBreakCount="1">
    <brk id="40" max="7" man="1"/>
  </rowBreaks>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AC3E5-833B-4425-9A76-C8EE2575052D}">
  <sheetPr>
    <tabColor rgb="FF92D050"/>
    <pageSetUpPr fitToPage="1"/>
  </sheetPr>
  <dimension ref="A1:T152"/>
  <sheetViews>
    <sheetView view="pageBreakPreview" zoomScale="70" zoomScaleNormal="50" zoomScaleSheetLayoutView="70" workbookViewId="0">
      <selection activeCell="E43" sqref="E43"/>
    </sheetView>
  </sheetViews>
  <sheetFormatPr defaultColWidth="8.81640625" defaultRowHeight="15.6"/>
  <cols>
    <col min="1" max="1" width="5.54296875" style="477" customWidth="1"/>
    <col min="2" max="2" width="28.1796875" style="472" customWidth="1"/>
    <col min="3" max="3" width="10.54296875" style="477" bestFit="1" customWidth="1"/>
    <col min="4" max="4" width="9.81640625" style="477" bestFit="1" customWidth="1"/>
    <col min="5" max="5" width="16.1796875" style="477" customWidth="1"/>
    <col min="6" max="6" width="12" style="477" customWidth="1"/>
    <col min="7" max="7" width="11.81640625" style="477" customWidth="1"/>
    <col min="8" max="8" width="14" style="577" customWidth="1"/>
    <col min="9" max="9" width="33.54296875" style="577" customWidth="1"/>
    <col min="10" max="10" width="8.81640625" style="577"/>
    <col min="11" max="11" width="12" style="577" customWidth="1"/>
    <col min="12" max="12" width="12.81640625" style="577" customWidth="1"/>
    <col min="13" max="16384" width="8.81640625" style="577"/>
  </cols>
  <sheetData>
    <row r="1" spans="1:20" ht="18" customHeight="1">
      <c r="A1" s="931" t="s">
        <v>792</v>
      </c>
      <c r="B1" s="931"/>
      <c r="C1" s="931"/>
      <c r="D1" s="931"/>
      <c r="E1" s="931"/>
      <c r="F1" s="931"/>
      <c r="G1" s="931"/>
      <c r="H1" s="931"/>
      <c r="I1" s="931"/>
      <c r="J1" s="477"/>
      <c r="K1" s="477"/>
      <c r="L1" s="477"/>
    </row>
    <row r="2" spans="1:20" ht="18" customHeight="1">
      <c r="A2" s="932" t="s">
        <v>6</v>
      </c>
      <c r="B2" s="932"/>
      <c r="C2" s="932"/>
      <c r="D2" s="932"/>
      <c r="E2" s="932"/>
      <c r="F2" s="932"/>
      <c r="G2" s="932"/>
      <c r="H2" s="932"/>
      <c r="I2" s="932"/>
      <c r="J2" s="485"/>
      <c r="K2" s="485"/>
      <c r="L2" s="485"/>
    </row>
    <row r="3" spans="1:20" ht="18" customHeight="1">
      <c r="A3" s="931" t="str">
        <f>'6f-ADIT True-up Proration'!A3:N3</f>
        <v>For the 12 months ended 12/31/2022</v>
      </c>
      <c r="B3" s="931"/>
      <c r="C3" s="931"/>
      <c r="D3" s="931"/>
      <c r="E3" s="931"/>
      <c r="F3" s="931"/>
      <c r="G3" s="931"/>
      <c r="H3" s="943"/>
      <c r="I3" s="931"/>
      <c r="J3" s="477"/>
      <c r="K3" s="477"/>
      <c r="L3" s="477"/>
    </row>
    <row r="4" spans="1:20" ht="18" customHeight="1">
      <c r="A4" s="476"/>
      <c r="B4" s="476"/>
      <c r="C4" s="476"/>
      <c r="D4" s="476"/>
      <c r="E4" s="476"/>
      <c r="F4" s="476"/>
      <c r="G4" s="476"/>
      <c r="H4" s="476"/>
      <c r="I4" s="476"/>
      <c r="J4" s="477"/>
      <c r="K4" s="477"/>
      <c r="L4" s="477"/>
    </row>
    <row r="5" spans="1:20" ht="17.399999999999999">
      <c r="B5" s="476" t="s">
        <v>186</v>
      </c>
      <c r="C5" s="476"/>
      <c r="D5" s="578"/>
      <c r="E5" s="578" t="s">
        <v>188</v>
      </c>
      <c r="F5" s="578" t="s">
        <v>190</v>
      </c>
      <c r="G5" s="578" t="s">
        <v>193</v>
      </c>
      <c r="H5" s="578" t="s">
        <v>196</v>
      </c>
      <c r="I5" s="579"/>
    </row>
    <row r="6" spans="1:20">
      <c r="B6" s="577"/>
      <c r="C6" s="577"/>
      <c r="D6" s="577"/>
      <c r="E6" s="577"/>
      <c r="F6" s="577"/>
      <c r="G6" s="577"/>
      <c r="H6" s="578" t="s">
        <v>693</v>
      </c>
      <c r="I6" s="477"/>
      <c r="T6" s="578"/>
    </row>
    <row r="7" spans="1:20" ht="31.2">
      <c r="A7" s="580" t="s">
        <v>694</v>
      </c>
      <c r="B7" s="580" t="s">
        <v>695</v>
      </c>
      <c r="C7" s="581"/>
      <c r="D7" s="582"/>
      <c r="E7" s="583" t="s">
        <v>389</v>
      </c>
      <c r="F7" s="583" t="s">
        <v>696</v>
      </c>
      <c r="G7" s="583" t="s">
        <v>697</v>
      </c>
      <c r="H7" s="583" t="s">
        <v>793</v>
      </c>
      <c r="I7" s="581"/>
      <c r="T7" s="578"/>
    </row>
    <row r="8" spans="1:20">
      <c r="B8" s="584"/>
      <c r="D8" s="577"/>
      <c r="H8" s="477"/>
      <c r="I8" s="477"/>
      <c r="L8" s="585"/>
    </row>
    <row r="9" spans="1:20" ht="20.25" customHeight="1">
      <c r="A9" s="477">
        <v>1</v>
      </c>
      <c r="B9" s="477" t="s">
        <v>721</v>
      </c>
      <c r="D9" s="577"/>
      <c r="E9" s="27">
        <f>F25</f>
        <v>-2038540.4849861197</v>
      </c>
      <c r="F9" s="27">
        <f t="shared" ref="F9:G9" si="0">G25</f>
        <v>0</v>
      </c>
      <c r="G9" s="27">
        <f t="shared" si="0"/>
        <v>0</v>
      </c>
      <c r="H9" s="27"/>
      <c r="I9" s="477" t="s">
        <v>699</v>
      </c>
    </row>
    <row r="10" spans="1:20" ht="20.25" customHeight="1">
      <c r="A10" s="477">
        <f t="shared" ref="A10:A16" si="1">+A9+1</f>
        <v>2</v>
      </c>
      <c r="B10" s="477" t="s">
        <v>727</v>
      </c>
      <c r="D10" s="577"/>
      <c r="E10" s="27">
        <f>F31</f>
        <v>-5450130.7531232908</v>
      </c>
      <c r="F10" s="27">
        <f>G31</f>
        <v>0</v>
      </c>
      <c r="G10" s="27">
        <f>H31</f>
        <v>0</v>
      </c>
      <c r="H10" s="27"/>
      <c r="I10" s="477" t="s">
        <v>794</v>
      </c>
    </row>
    <row r="11" spans="1:20" ht="20.25" customHeight="1">
      <c r="A11" s="477">
        <f t="shared" si="1"/>
        <v>3</v>
      </c>
      <c r="B11" s="477" t="s">
        <v>702</v>
      </c>
      <c r="D11" s="577"/>
      <c r="E11" s="27">
        <f>F37</f>
        <v>217053</v>
      </c>
      <c r="F11" s="27">
        <f>G37</f>
        <v>0</v>
      </c>
      <c r="G11" s="27">
        <f>H37</f>
        <v>0</v>
      </c>
      <c r="H11" s="27"/>
      <c r="I11" s="477" t="s">
        <v>795</v>
      </c>
    </row>
    <row r="12" spans="1:20" ht="20.25" customHeight="1">
      <c r="A12" s="477">
        <f t="shared" si="1"/>
        <v>4</v>
      </c>
      <c r="B12" s="477" t="s">
        <v>704</v>
      </c>
      <c r="D12" s="577"/>
      <c r="E12" s="27">
        <f>SUM(E9:E11)</f>
        <v>-7271618.2381094107</v>
      </c>
      <c r="F12" s="27">
        <f>SUM(F9:F11)</f>
        <v>0</v>
      </c>
      <c r="G12" s="27">
        <f>SUM(G9:G11)</f>
        <v>0</v>
      </c>
      <c r="H12" s="27"/>
      <c r="I12" s="586" t="s">
        <v>705</v>
      </c>
    </row>
    <row r="13" spans="1:20" ht="20.25" customHeight="1">
      <c r="A13" s="477">
        <f t="shared" si="1"/>
        <v>5</v>
      </c>
      <c r="B13" s="477" t="s">
        <v>796</v>
      </c>
      <c r="D13" s="577"/>
      <c r="G13" s="151">
        <f>+'Appendix III'!J183</f>
        <v>1</v>
      </c>
      <c r="H13" s="477"/>
      <c r="I13" s="477" t="s">
        <v>532</v>
      </c>
    </row>
    <row r="14" spans="1:20" ht="20.25" customHeight="1">
      <c r="A14" s="477">
        <f t="shared" si="1"/>
        <v>6</v>
      </c>
      <c r="B14" s="477" t="s">
        <v>708</v>
      </c>
      <c r="D14" s="577"/>
      <c r="F14" s="587">
        <f>+'Appendix III'!H78</f>
        <v>1</v>
      </c>
      <c r="H14" s="477"/>
      <c r="I14" s="477" t="s">
        <v>709</v>
      </c>
    </row>
    <row r="15" spans="1:20" ht="20.25" customHeight="1">
      <c r="A15" s="477">
        <f t="shared" si="1"/>
        <v>7</v>
      </c>
      <c r="B15" s="477" t="s">
        <v>710</v>
      </c>
      <c r="D15" s="577"/>
      <c r="E15" s="587">
        <v>1</v>
      </c>
      <c r="F15" s="587"/>
      <c r="H15" s="477"/>
      <c r="I15" s="588">
        <v>1</v>
      </c>
    </row>
    <row r="16" spans="1:20" ht="37.950000000000003" customHeight="1">
      <c r="A16" s="477">
        <f t="shared" si="1"/>
        <v>8</v>
      </c>
      <c r="B16" s="477" t="s">
        <v>797</v>
      </c>
      <c r="D16" s="577"/>
      <c r="E16" s="27">
        <f>+E12*E15</f>
        <v>-7271618.2381094107</v>
      </c>
      <c r="F16" s="27">
        <f>+F14*F12</f>
        <v>0</v>
      </c>
      <c r="G16" s="27">
        <f>+G13*G12</f>
        <v>0</v>
      </c>
      <c r="H16" s="27">
        <f>+E16+F16+G16</f>
        <v>-7271618.2381094107</v>
      </c>
      <c r="I16" s="589" t="s">
        <v>712</v>
      </c>
    </row>
    <row r="17" spans="1:17">
      <c r="B17" s="477"/>
      <c r="D17" s="577"/>
      <c r="E17" s="27"/>
      <c r="F17" s="27"/>
      <c r="G17" s="27"/>
      <c r="H17" s="27"/>
      <c r="I17" s="589"/>
    </row>
    <row r="18" spans="1:17">
      <c r="B18" s="477"/>
      <c r="D18" s="586"/>
      <c r="G18" s="27"/>
      <c r="I18" s="578"/>
    </row>
    <row r="19" spans="1:17">
      <c r="B19" s="476" t="s">
        <v>174</v>
      </c>
      <c r="C19" s="476" t="s">
        <v>370</v>
      </c>
      <c r="D19" s="476" t="s">
        <v>713</v>
      </c>
      <c r="E19" s="476" t="s">
        <v>714</v>
      </c>
      <c r="F19" s="476" t="s">
        <v>715</v>
      </c>
      <c r="G19" s="578" t="s">
        <v>716</v>
      </c>
      <c r="H19" s="578" t="s">
        <v>717</v>
      </c>
      <c r="I19" s="578"/>
    </row>
    <row r="20" spans="1:17" ht="31.2">
      <c r="A20" s="590"/>
      <c r="B20" s="591" t="s">
        <v>718</v>
      </c>
      <c r="C20" s="591" t="s">
        <v>719</v>
      </c>
      <c r="D20" s="591" t="s">
        <v>294</v>
      </c>
      <c r="E20" s="591" t="s">
        <v>720</v>
      </c>
      <c r="F20" s="591" t="s">
        <v>389</v>
      </c>
      <c r="G20" s="591" t="s">
        <v>696</v>
      </c>
      <c r="H20" s="591" t="s">
        <v>697</v>
      </c>
      <c r="I20" s="591"/>
      <c r="Q20" s="578"/>
    </row>
    <row r="21" spans="1:17">
      <c r="A21" s="477" t="s">
        <v>721</v>
      </c>
      <c r="D21" s="646"/>
      <c r="E21" s="476"/>
      <c r="F21" s="476"/>
      <c r="G21" s="577"/>
      <c r="Q21" s="578"/>
    </row>
    <row r="22" spans="1:17" ht="20.25" customHeight="1">
      <c r="A22" s="584">
        <f>A16+1</f>
        <v>9</v>
      </c>
      <c r="B22" s="472" t="s">
        <v>722</v>
      </c>
      <c r="C22" s="477" t="s">
        <v>296</v>
      </c>
      <c r="D22" s="647">
        <v>2021</v>
      </c>
      <c r="E22" s="151">
        <f>'6c- ADIT BOY'!C54</f>
        <v>-1252959</v>
      </c>
      <c r="F22" s="151">
        <f>'6c- ADIT BOY'!E54</f>
        <v>-1252959</v>
      </c>
      <c r="G22" s="151">
        <f>'6c- ADIT BOY'!F54</f>
        <v>0</v>
      </c>
      <c r="H22" s="151">
        <f>'6c- ADIT BOY'!G54</f>
        <v>0</v>
      </c>
      <c r="I22" s="593"/>
    </row>
    <row r="23" spans="1:17" ht="20.25" customHeight="1">
      <c r="A23" s="584">
        <f>A22+1</f>
        <v>10</v>
      </c>
      <c r="B23" s="472" t="s">
        <v>798</v>
      </c>
      <c r="C23" s="477" t="s">
        <v>296</v>
      </c>
      <c r="D23" s="647">
        <v>2022</v>
      </c>
      <c r="E23" s="151">
        <f>'6d- ADIT EOY'!C54-'6d- ADIT EOY'!C50</f>
        <v>0</v>
      </c>
      <c r="F23" s="151">
        <f>'6d- ADIT EOY'!E54-'6d- ADIT EOY'!E50</f>
        <v>0</v>
      </c>
      <c r="G23" s="151">
        <f>'6d- ADIT EOY'!F54-'6d- ADIT EOY'!F50</f>
        <v>0</v>
      </c>
      <c r="H23" s="151">
        <f>'6d- ADIT EOY'!G54-'6d- ADIT EOY'!G50</f>
        <v>0</v>
      </c>
      <c r="I23" s="593"/>
    </row>
    <row r="24" spans="1:17" ht="20.25" customHeight="1">
      <c r="A24" s="584">
        <f>A23+1</f>
        <v>11</v>
      </c>
      <c r="B24" s="472" t="s">
        <v>799</v>
      </c>
      <c r="C24" s="477" t="s">
        <v>296</v>
      </c>
      <c r="D24" s="647">
        <f>D23</f>
        <v>2022</v>
      </c>
      <c r="E24" s="27">
        <f>'6f-ADIT True-up Proration'!F22</f>
        <v>-891307.25725462427</v>
      </c>
      <c r="F24" s="27">
        <f>'6f-ADIT True-up Proration'!N21</f>
        <v>-2038540.4849861197</v>
      </c>
      <c r="G24" s="27">
        <f>'6f-ADIT True-up Proration'!W21</f>
        <v>0</v>
      </c>
      <c r="H24" s="27">
        <f>'6f-ADIT True-up Proration'!AF21</f>
        <v>0</v>
      </c>
      <c r="I24" s="648"/>
    </row>
    <row r="25" spans="1:17">
      <c r="A25" s="584">
        <f>A24+1</f>
        <v>12</v>
      </c>
      <c r="B25" s="472" t="s">
        <v>800</v>
      </c>
      <c r="D25" s="649"/>
      <c r="E25" s="27">
        <f>E23+E24</f>
        <v>-891307.25725462427</v>
      </c>
      <c r="F25" s="27">
        <f t="shared" ref="F25:H25" si="2">F23+F24</f>
        <v>-2038540.4849861197</v>
      </c>
      <c r="G25" s="27">
        <f t="shared" si="2"/>
        <v>0</v>
      </c>
      <c r="H25" s="27">
        <f t="shared" si="2"/>
        <v>0</v>
      </c>
      <c r="I25" s="648"/>
    </row>
    <row r="26" spans="1:17">
      <c r="A26" s="584"/>
      <c r="D26" s="650"/>
      <c r="G26" s="577"/>
    </row>
    <row r="27" spans="1:17" ht="20.25" customHeight="1">
      <c r="A27" s="477" t="s">
        <v>727</v>
      </c>
      <c r="D27" s="650"/>
      <c r="G27" s="577"/>
    </row>
    <row r="28" spans="1:17" ht="20.25" customHeight="1">
      <c r="A28" s="584">
        <f>A25+1</f>
        <v>13</v>
      </c>
      <c r="B28" s="472" t="s">
        <v>728</v>
      </c>
      <c r="C28" s="477" t="s">
        <v>296</v>
      </c>
      <c r="D28" s="647">
        <v>2021</v>
      </c>
      <c r="E28" s="27">
        <f>'6c- ADIT BOY'!C78</f>
        <v>-4390001</v>
      </c>
      <c r="F28" s="27">
        <f>'6c- ADIT BOY'!E78</f>
        <v>-4390001</v>
      </c>
      <c r="G28" s="27">
        <f>'6c- ADIT BOY'!F78</f>
        <v>0</v>
      </c>
      <c r="H28" s="27">
        <f>'6c- ADIT BOY'!G78</f>
        <v>0</v>
      </c>
      <c r="I28" s="593"/>
    </row>
    <row r="29" spans="1:17" ht="20.25" customHeight="1">
      <c r="A29" s="584">
        <f>A28+1</f>
        <v>14</v>
      </c>
      <c r="B29" s="472" t="s">
        <v>801</v>
      </c>
      <c r="C29" s="477" t="s">
        <v>296</v>
      </c>
      <c r="D29" s="647">
        <v>2022</v>
      </c>
      <c r="E29" s="27">
        <f>'6d- ADIT EOY'!C78-'6d- ADIT EOY'!C74</f>
        <v>0</v>
      </c>
      <c r="F29" s="27">
        <f>'6d- ADIT EOY'!E78-'6d- ADIT EOY'!E74</f>
        <v>0</v>
      </c>
      <c r="G29" s="27">
        <f>'6d- ADIT EOY'!F78-'6d- ADIT EOY'!F74</f>
        <v>0</v>
      </c>
      <c r="H29" s="27">
        <f>'6d- ADIT EOY'!G78-'6d- ADIT EOY'!G74</f>
        <v>0</v>
      </c>
      <c r="I29" s="593"/>
    </row>
    <row r="30" spans="1:17">
      <c r="A30" s="584">
        <f t="shared" ref="A30:A31" si="3">A29+1</f>
        <v>15</v>
      </c>
      <c r="B30" s="472" t="s">
        <v>802</v>
      </c>
      <c r="C30" s="477" t="s">
        <v>296</v>
      </c>
      <c r="D30" s="647">
        <f>D29</f>
        <v>2022</v>
      </c>
      <c r="E30" s="27">
        <f>'6f-ADIT True-up Proration'!F38</f>
        <v>279197.87999999995</v>
      </c>
      <c r="F30" s="27">
        <f>'6f-ADIT True-up Proration'!N37</f>
        <v>-5450130.7531232908</v>
      </c>
      <c r="G30" s="27">
        <f>'6f-ADIT True-up Proration'!W37</f>
        <v>0</v>
      </c>
      <c r="H30" s="27">
        <f>'6f-ADIT True-up Proration'!AF37</f>
        <v>0</v>
      </c>
      <c r="I30" s="593"/>
    </row>
    <row r="31" spans="1:17">
      <c r="A31" s="584">
        <f t="shared" si="3"/>
        <v>16</v>
      </c>
      <c r="B31" s="472" t="s">
        <v>803</v>
      </c>
      <c r="D31" s="650"/>
      <c r="E31" s="480">
        <f>E29+E30</f>
        <v>279197.87999999995</v>
      </c>
      <c r="F31" s="480">
        <f t="shared" ref="F31:H31" si="4">F29+F30</f>
        <v>-5450130.7531232908</v>
      </c>
      <c r="G31" s="480">
        <f t="shared" si="4"/>
        <v>0</v>
      </c>
      <c r="H31" s="480">
        <f t="shared" si="4"/>
        <v>0</v>
      </c>
      <c r="I31" s="594"/>
    </row>
    <row r="32" spans="1:17" ht="20.25" customHeight="1">
      <c r="A32" s="584"/>
      <c r="D32" s="650"/>
      <c r="G32" s="577"/>
    </row>
    <row r="33" spans="1:9" ht="20.25" customHeight="1">
      <c r="A33" s="477" t="s">
        <v>702</v>
      </c>
      <c r="D33" s="650"/>
      <c r="G33" s="577"/>
    </row>
    <row r="34" spans="1:9" ht="20.25" customHeight="1">
      <c r="A34" s="584">
        <f>A31+1</f>
        <v>17</v>
      </c>
      <c r="B34" s="472" t="s">
        <v>732</v>
      </c>
      <c r="C34" s="477" t="s">
        <v>296</v>
      </c>
      <c r="D34" s="647">
        <v>2021</v>
      </c>
      <c r="E34" s="27">
        <f>'6c- ADIT BOY'!C32</f>
        <v>171359</v>
      </c>
      <c r="F34" s="27">
        <f>'6c- ADIT BOY'!E32</f>
        <v>171359</v>
      </c>
      <c r="G34" s="27">
        <f>'6c- ADIT BOY'!F32</f>
        <v>0</v>
      </c>
      <c r="H34" s="27">
        <f>'6c- ADIT BOY'!G32</f>
        <v>0</v>
      </c>
      <c r="I34" s="593"/>
    </row>
    <row r="35" spans="1:9">
      <c r="A35" s="584">
        <f>A34+1</f>
        <v>18</v>
      </c>
      <c r="B35" s="472" t="s">
        <v>804</v>
      </c>
      <c r="C35" s="477" t="s">
        <v>296</v>
      </c>
      <c r="D35" s="647">
        <v>2022</v>
      </c>
      <c r="E35" s="27">
        <f>'6d- ADIT EOY'!C32-'6d- ADIT EOY'!C28</f>
        <v>217053</v>
      </c>
      <c r="F35" s="27">
        <f>'6d- ADIT EOY'!E32-'6d- ADIT EOY'!E28</f>
        <v>217053</v>
      </c>
      <c r="G35" s="27">
        <f>'6d- ADIT EOY'!F32-'6d- ADIT EOY'!F28</f>
        <v>0</v>
      </c>
      <c r="H35" s="27">
        <f>'6d- ADIT EOY'!G32-'6d- ADIT EOY'!G28</f>
        <v>0</v>
      </c>
      <c r="I35" s="593"/>
    </row>
    <row r="36" spans="1:9">
      <c r="A36" s="584">
        <f t="shared" ref="A36:A37" si="5">A35+1</f>
        <v>19</v>
      </c>
      <c r="B36" s="472" t="s">
        <v>805</v>
      </c>
      <c r="C36" s="477" t="s">
        <v>296</v>
      </c>
      <c r="D36" s="647">
        <f>D35</f>
        <v>2022</v>
      </c>
      <c r="E36" s="27">
        <f>'6f-ADIT True-up Proration'!F54</f>
        <v>0</v>
      </c>
      <c r="F36" s="27">
        <f>'6f-ADIT True-up Proration'!N53</f>
        <v>0</v>
      </c>
      <c r="G36" s="27">
        <f>'6f-ADIT True-up Proration'!W53</f>
        <v>0</v>
      </c>
      <c r="H36" s="27">
        <f>'6f-ADIT True-up Proration'!AF53</f>
        <v>0</v>
      </c>
      <c r="I36" s="593"/>
    </row>
    <row r="37" spans="1:9">
      <c r="A37" s="584">
        <f t="shared" si="5"/>
        <v>20</v>
      </c>
      <c r="B37" s="472" t="s">
        <v>806</v>
      </c>
      <c r="D37" s="650"/>
      <c r="E37" s="480">
        <f>E35+E36</f>
        <v>217053</v>
      </c>
      <c r="F37" s="480">
        <f t="shared" ref="F37:H37" si="6">F35+F36</f>
        <v>217053</v>
      </c>
      <c r="G37" s="480">
        <f t="shared" si="6"/>
        <v>0</v>
      </c>
      <c r="H37" s="480">
        <f t="shared" si="6"/>
        <v>0</v>
      </c>
      <c r="I37" s="594"/>
    </row>
    <row r="38" spans="1:9">
      <c r="D38" s="651"/>
    </row>
    <row r="39" spans="1:9">
      <c r="D39" s="651"/>
    </row>
    <row r="40" spans="1:9">
      <c r="D40" s="651"/>
    </row>
    <row r="41" spans="1:9">
      <c r="D41" s="382"/>
    </row>
    <row r="42" spans="1:9">
      <c r="D42" s="382"/>
    </row>
    <row r="43" spans="1:9">
      <c r="D43" s="382"/>
    </row>
    <row r="44" spans="1:9">
      <c r="D44" s="382"/>
    </row>
    <row r="45" spans="1:9">
      <c r="D45" s="382"/>
    </row>
    <row r="46" spans="1:9">
      <c r="B46" s="477"/>
      <c r="D46" s="382"/>
    </row>
    <row r="47" spans="1:9">
      <c r="D47" s="382"/>
    </row>
    <row r="48" spans="1:9">
      <c r="B48" s="477"/>
      <c r="D48" s="382"/>
    </row>
    <row r="66" spans="10:10">
      <c r="J66" s="477"/>
    </row>
    <row r="152" spans="8:8">
      <c r="H152" s="595"/>
    </row>
  </sheetData>
  <mergeCells count="3">
    <mergeCell ref="A1:I1"/>
    <mergeCell ref="A2:I2"/>
    <mergeCell ref="A3:I3"/>
  </mergeCells>
  <printOptions horizontalCentered="1"/>
  <pageMargins left="0.25" right="0.25" top="0.75" bottom="0.75" header="0.3" footer="0.3"/>
  <pageSetup scale="67" orientation="landscape" r:id="rId1"/>
  <headerFooter alignWithMargins="0"/>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E0359-110E-4C53-AFE9-DE17C602C036}">
  <sheetPr>
    <tabColor rgb="FF92D050"/>
    <pageSetUpPr fitToPage="1"/>
  </sheetPr>
  <dimension ref="A1:AG74"/>
  <sheetViews>
    <sheetView view="pageBreakPreview" topLeftCell="A26" zoomScale="85" zoomScaleNormal="85" zoomScaleSheetLayoutView="85" workbookViewId="0">
      <selection activeCell="E43" sqref="E43"/>
    </sheetView>
  </sheetViews>
  <sheetFormatPr defaultColWidth="8.81640625" defaultRowHeight="13.8"/>
  <cols>
    <col min="1" max="1" width="5.54296875" style="652" customWidth="1"/>
    <col min="2" max="2" width="31" style="657" customWidth="1"/>
    <col min="3" max="3" width="10.54296875" style="652" customWidth="1"/>
    <col min="4" max="4" width="9.81640625" style="652" customWidth="1"/>
    <col min="5" max="5" width="10" style="652" customWidth="1"/>
    <col min="6" max="32" width="10.54296875" style="652" customWidth="1"/>
    <col min="33" max="16384" width="8.81640625" style="652"/>
  </cols>
  <sheetData>
    <row r="1" spans="1:33">
      <c r="A1" s="945" t="s">
        <v>807</v>
      </c>
      <c r="B1" s="945"/>
      <c r="C1" s="945"/>
      <c r="D1" s="945"/>
      <c r="E1" s="945"/>
      <c r="F1" s="945"/>
      <c r="G1" s="945"/>
      <c r="H1" s="945"/>
      <c r="I1" s="945"/>
      <c r="J1" s="945"/>
      <c r="K1" s="945"/>
      <c r="L1" s="945"/>
      <c r="M1" s="945"/>
      <c r="N1" s="945"/>
      <c r="P1" s="653"/>
    </row>
    <row r="2" spans="1:33">
      <c r="A2" s="945" t="str">
        <f>'6e-ADIT True-up'!A2:I2</f>
        <v>Horizon West Transmission, LLC</v>
      </c>
      <c r="B2" s="945"/>
      <c r="C2" s="945"/>
      <c r="D2" s="945"/>
      <c r="E2" s="945"/>
      <c r="F2" s="945"/>
      <c r="G2" s="945"/>
      <c r="H2" s="945"/>
      <c r="I2" s="945"/>
      <c r="J2" s="945"/>
      <c r="K2" s="945"/>
      <c r="L2" s="945"/>
      <c r="M2" s="945"/>
      <c r="N2" s="945"/>
      <c r="O2" s="653"/>
      <c r="P2" s="654"/>
      <c r="Q2" s="653"/>
    </row>
    <row r="3" spans="1:33">
      <c r="A3" s="945" t="str">
        <f>+'Appendix III'!M7</f>
        <v>For the 12 months ended 12/31/2022</v>
      </c>
      <c r="B3" s="945"/>
      <c r="C3" s="945"/>
      <c r="D3" s="945"/>
      <c r="E3" s="945"/>
      <c r="F3" s="945"/>
      <c r="G3" s="945"/>
      <c r="H3" s="945"/>
      <c r="I3" s="945"/>
      <c r="J3" s="945"/>
      <c r="K3" s="945"/>
      <c r="L3" s="945"/>
      <c r="M3" s="945"/>
      <c r="N3" s="945"/>
      <c r="O3" s="653"/>
      <c r="P3" s="654"/>
      <c r="Q3" s="655"/>
      <c r="R3" s="655"/>
    </row>
    <row r="4" spans="1:33" ht="14.4" thickBot="1">
      <c r="A4" s="656"/>
      <c r="B4" s="656"/>
      <c r="C4" s="656"/>
      <c r="D4" s="656"/>
      <c r="E4" s="656"/>
      <c r="F4" s="656"/>
      <c r="G4" s="656"/>
      <c r="H4" s="656"/>
      <c r="I4" s="656"/>
      <c r="J4" s="656"/>
      <c r="K4" s="656"/>
      <c r="L4" s="656"/>
      <c r="M4" s="656"/>
      <c r="N4" s="656"/>
      <c r="O4" s="653"/>
      <c r="P4" s="655"/>
      <c r="Q4" s="655"/>
      <c r="R4" s="655"/>
    </row>
    <row r="5" spans="1:33">
      <c r="F5" s="946" t="s">
        <v>58</v>
      </c>
      <c r="G5" s="947"/>
      <c r="H5" s="947"/>
      <c r="I5" s="947"/>
      <c r="J5" s="947"/>
      <c r="K5" s="947"/>
      <c r="L5" s="947"/>
      <c r="M5" s="947"/>
      <c r="N5" s="948"/>
      <c r="O5" s="946" t="s">
        <v>696</v>
      </c>
      <c r="P5" s="947"/>
      <c r="Q5" s="947"/>
      <c r="R5" s="947"/>
      <c r="S5" s="947"/>
      <c r="T5" s="947"/>
      <c r="U5" s="947"/>
      <c r="V5" s="947"/>
      <c r="W5" s="948"/>
      <c r="X5" s="946" t="s">
        <v>697</v>
      </c>
      <c r="Y5" s="947"/>
      <c r="Z5" s="947"/>
      <c r="AA5" s="947"/>
      <c r="AB5" s="947"/>
      <c r="AC5" s="947"/>
      <c r="AD5" s="947"/>
      <c r="AE5" s="947"/>
      <c r="AF5" s="948"/>
      <c r="AG5" s="656"/>
    </row>
    <row r="6" spans="1:33">
      <c r="B6" s="656" t="s">
        <v>174</v>
      </c>
      <c r="C6" s="656" t="s">
        <v>370</v>
      </c>
      <c r="D6" s="656" t="s">
        <v>713</v>
      </c>
      <c r="E6" s="656" t="s">
        <v>714</v>
      </c>
      <c r="F6" s="658" t="s">
        <v>715</v>
      </c>
      <c r="G6" s="656" t="s">
        <v>716</v>
      </c>
      <c r="H6" s="656" t="s">
        <v>717</v>
      </c>
      <c r="I6" s="656" t="s">
        <v>737</v>
      </c>
      <c r="J6" s="659" t="s">
        <v>738</v>
      </c>
      <c r="K6" s="659" t="s">
        <v>739</v>
      </c>
      <c r="L6" s="659" t="s">
        <v>740</v>
      </c>
      <c r="M6" s="659" t="s">
        <v>808</v>
      </c>
      <c r="N6" s="660" t="s">
        <v>809</v>
      </c>
      <c r="O6" s="658" t="s">
        <v>715</v>
      </c>
      <c r="P6" s="656" t="s">
        <v>716</v>
      </c>
      <c r="Q6" s="656" t="s">
        <v>717</v>
      </c>
      <c r="R6" s="656" t="s">
        <v>737</v>
      </c>
      <c r="S6" s="659" t="s">
        <v>738</v>
      </c>
      <c r="T6" s="659" t="s">
        <v>739</v>
      </c>
      <c r="U6" s="659" t="s">
        <v>740</v>
      </c>
      <c r="V6" s="659" t="s">
        <v>808</v>
      </c>
      <c r="W6" s="660" t="s">
        <v>809</v>
      </c>
      <c r="X6" s="658" t="s">
        <v>715</v>
      </c>
      <c r="Y6" s="656" t="s">
        <v>716</v>
      </c>
      <c r="Z6" s="656" t="s">
        <v>717</v>
      </c>
      <c r="AA6" s="656" t="s">
        <v>737</v>
      </c>
      <c r="AB6" s="659" t="s">
        <v>738</v>
      </c>
      <c r="AC6" s="659" t="s">
        <v>739</v>
      </c>
      <c r="AD6" s="659" t="s">
        <v>740</v>
      </c>
      <c r="AE6" s="659" t="s">
        <v>808</v>
      </c>
      <c r="AF6" s="660" t="s">
        <v>809</v>
      </c>
    </row>
    <row r="7" spans="1:33" ht="82.8">
      <c r="A7" s="661"/>
      <c r="B7" s="662" t="s">
        <v>718</v>
      </c>
      <c r="C7" s="662" t="s">
        <v>719</v>
      </c>
      <c r="D7" s="662" t="s">
        <v>294</v>
      </c>
      <c r="E7" s="662" t="s">
        <v>741</v>
      </c>
      <c r="F7" s="663" t="s">
        <v>810</v>
      </c>
      <c r="G7" s="662" t="s">
        <v>811</v>
      </c>
      <c r="H7" s="662" t="s">
        <v>812</v>
      </c>
      <c r="I7" s="662" t="s">
        <v>813</v>
      </c>
      <c r="J7" s="662" t="s">
        <v>814</v>
      </c>
      <c r="K7" s="662" t="s">
        <v>815</v>
      </c>
      <c r="L7" s="662" t="s">
        <v>816</v>
      </c>
      <c r="M7" s="662" t="s">
        <v>817</v>
      </c>
      <c r="N7" s="664" t="s">
        <v>818</v>
      </c>
      <c r="O7" s="663" t="s">
        <v>810</v>
      </c>
      <c r="P7" s="662" t="s">
        <v>811</v>
      </c>
      <c r="Q7" s="662" t="s">
        <v>812</v>
      </c>
      <c r="R7" s="662" t="s">
        <v>813</v>
      </c>
      <c r="S7" s="662" t="s">
        <v>814</v>
      </c>
      <c r="T7" s="662" t="s">
        <v>815</v>
      </c>
      <c r="U7" s="662" t="s">
        <v>816</v>
      </c>
      <c r="V7" s="662" t="s">
        <v>817</v>
      </c>
      <c r="W7" s="664" t="s">
        <v>818</v>
      </c>
      <c r="X7" s="663" t="s">
        <v>810</v>
      </c>
      <c r="Y7" s="662" t="s">
        <v>811</v>
      </c>
      <c r="Z7" s="662" t="s">
        <v>812</v>
      </c>
      <c r="AA7" s="662" t="s">
        <v>813</v>
      </c>
      <c r="AB7" s="662" t="s">
        <v>814</v>
      </c>
      <c r="AC7" s="662" t="s">
        <v>815</v>
      </c>
      <c r="AD7" s="662" t="s">
        <v>816</v>
      </c>
      <c r="AE7" s="662" t="s">
        <v>817</v>
      </c>
      <c r="AF7" s="664" t="s">
        <v>818</v>
      </c>
      <c r="AG7" s="656"/>
    </row>
    <row r="8" spans="1:33">
      <c r="A8" s="652" t="s">
        <v>819</v>
      </c>
      <c r="D8" s="656"/>
      <c r="E8" s="656"/>
      <c r="F8" s="665"/>
      <c r="N8" s="666"/>
      <c r="O8" s="665"/>
      <c r="W8" s="666"/>
      <c r="X8" s="665"/>
      <c r="AF8" s="666"/>
      <c r="AG8" s="656"/>
    </row>
    <row r="9" spans="1:33">
      <c r="A9" s="667">
        <v>1</v>
      </c>
      <c r="B9" s="657" t="s">
        <v>820</v>
      </c>
      <c r="C9" s="652" t="s">
        <v>296</v>
      </c>
      <c r="D9" s="668">
        <v>2021</v>
      </c>
      <c r="E9" s="669">
        <f>365/365</f>
        <v>1</v>
      </c>
      <c r="F9" s="670"/>
      <c r="G9" s="671"/>
      <c r="H9" s="671">
        <v>0</v>
      </c>
      <c r="I9" s="671">
        <f>+'6c- ADIT BOY'!E54</f>
        <v>-1252959</v>
      </c>
      <c r="J9" s="671"/>
      <c r="K9" s="671"/>
      <c r="L9" s="671"/>
      <c r="M9" s="671"/>
      <c r="N9" s="672">
        <f>I9</f>
        <v>-1252959</v>
      </c>
      <c r="O9" s="670"/>
      <c r="P9" s="671"/>
      <c r="Q9" s="671">
        <f>'6c- ADIT BOY'!F54</f>
        <v>0</v>
      </c>
      <c r="R9" s="671"/>
      <c r="S9" s="671"/>
      <c r="T9" s="671"/>
      <c r="U9" s="671"/>
      <c r="V9" s="671"/>
      <c r="W9" s="672">
        <v>0</v>
      </c>
      <c r="X9" s="670"/>
      <c r="Y9" s="671"/>
      <c r="Z9" s="671">
        <f>'6c- ADIT BOY'!G54</f>
        <v>0</v>
      </c>
      <c r="AA9" s="671"/>
      <c r="AB9" s="671"/>
      <c r="AC9" s="671"/>
      <c r="AD9" s="671"/>
      <c r="AE9" s="671"/>
      <c r="AF9" s="672">
        <v>0</v>
      </c>
    </row>
    <row r="10" spans="1:33">
      <c r="A10" s="667">
        <f t="shared" ref="A10:A22" si="0">+A9+1</f>
        <v>2</v>
      </c>
      <c r="B10" s="657" t="s">
        <v>748</v>
      </c>
      <c r="C10" s="652" t="s">
        <v>298</v>
      </c>
      <c r="D10" s="668">
        <v>2022</v>
      </c>
      <c r="E10" s="669">
        <f>335/365</f>
        <v>0.9178082191780822</v>
      </c>
      <c r="F10" s="670">
        <f>'6b-ADIT Projection Proration'!G10</f>
        <v>-83469.238772618672</v>
      </c>
      <c r="G10" s="671">
        <f>$E10*F10</f>
        <v>-76608.753394047279</v>
      </c>
      <c r="H10" s="671">
        <f>+G10+H9</f>
        <v>-76608.753394047279</v>
      </c>
      <c r="I10" s="673">
        <f>('6d- ADIT EOY'!E50-'6c- ADIT BOY'!E50)/12</f>
        <v>-134091.58333333334</v>
      </c>
      <c r="J10" s="671">
        <f>I10-F10</f>
        <v>-50622.344560714671</v>
      </c>
      <c r="K10" s="674">
        <f>IF(J10&gt;=0,+J10*0.5,0)</f>
        <v>0</v>
      </c>
      <c r="L10" s="671">
        <f t="shared" ref="L10:L12" si="1">IF(K10&gt;0,0,IF(I10&lt;0,0,(-(J10)*0.5)))</f>
        <v>0</v>
      </c>
      <c r="M10" s="671">
        <f t="shared" ref="M10:M14" si="2">IF(K10&gt;0,0,IF(I10&gt;0,0,(-(J10)*0.5)))</f>
        <v>25311.172280357336</v>
      </c>
      <c r="N10" s="675">
        <f>+N9+G10+K10-L10-M10</f>
        <v>-1354878.9256744045</v>
      </c>
      <c r="O10" s="670">
        <f>'6b-ADIT Projection Proration'!I10</f>
        <v>0</v>
      </c>
      <c r="P10" s="671">
        <f t="shared" ref="P10:P21" si="3">$E10*O10</f>
        <v>0</v>
      </c>
      <c r="Q10" s="671">
        <f>+P10+Q9</f>
        <v>0</v>
      </c>
      <c r="R10" s="673">
        <v>0</v>
      </c>
      <c r="S10" s="671">
        <f t="shared" ref="S10:S21" si="4">R10-O10</f>
        <v>0</v>
      </c>
      <c r="T10" s="674">
        <f>IF(S10&gt;=0,+S10*E10,0)</f>
        <v>0</v>
      </c>
      <c r="U10" s="671">
        <f t="shared" ref="U10:U21" si="5">IF(T10&gt;0,0,IF(R10&lt;0,0,(-(S10)*($E10))))</f>
        <v>0</v>
      </c>
      <c r="V10" s="671">
        <f t="shared" ref="V10:V21" si="6">IF(T10&gt;0,0,IF(R10&gt;0,0,(-(S10)*($E10))))</f>
        <v>0</v>
      </c>
      <c r="W10" s="675">
        <f>+W9+P10+T10-U10-V10</f>
        <v>0</v>
      </c>
      <c r="X10" s="670">
        <f>'6b-ADIT Projection Proration'!K10</f>
        <v>0</v>
      </c>
      <c r="Y10" s="671">
        <f t="shared" ref="Y10:Y21" si="7">$E10*X10</f>
        <v>0</v>
      </c>
      <c r="Z10" s="671">
        <f>+Y10+Z9</f>
        <v>0</v>
      </c>
      <c r="AA10" s="673">
        <v>0</v>
      </c>
      <c r="AB10" s="671">
        <f t="shared" ref="AB10:AB21" si="8">AA10-X10</f>
        <v>0</v>
      </c>
      <c r="AC10" s="674">
        <f>IF(AB10&gt;=0,+AB10*E10,0)</f>
        <v>0</v>
      </c>
      <c r="AD10" s="671">
        <f t="shared" ref="AD10:AD21" si="9">IF(AC10&gt;0,0,IF(AA10&lt;0,0,(-(AB10)*($E10))))</f>
        <v>0</v>
      </c>
      <c r="AE10" s="671">
        <f t="shared" ref="AE10:AE21" si="10">IF(AC10&gt;0,0,IF(AA10&gt;0,0,(-(AB10)*($E10))))</f>
        <v>0</v>
      </c>
      <c r="AF10" s="675">
        <f t="shared" ref="AF10:AF12" si="11">+AF9+Y10+AC10-AD10-AE10</f>
        <v>0</v>
      </c>
    </row>
    <row r="11" spans="1:33">
      <c r="A11" s="667">
        <f t="shared" si="0"/>
        <v>3</v>
      </c>
      <c r="B11" s="657" t="s">
        <v>748</v>
      </c>
      <c r="C11" s="652" t="s">
        <v>300</v>
      </c>
      <c r="D11" s="668">
        <f>+D10</f>
        <v>2022</v>
      </c>
      <c r="E11" s="669">
        <f>307/365</f>
        <v>0.84109589041095889</v>
      </c>
      <c r="F11" s="670">
        <f>'6b-ADIT Projection Proration'!G11</f>
        <v>-83469.238772618672</v>
      </c>
      <c r="G11" s="671">
        <f t="shared" ref="G11:G21" si="12">$E11*F11</f>
        <v>-70205.633707380635</v>
      </c>
      <c r="H11" s="671">
        <f t="shared" ref="H11:H21" si="13">+G11+H10</f>
        <v>-146814.38710142791</v>
      </c>
      <c r="I11" s="673">
        <f>$I$10</f>
        <v>-134091.58333333334</v>
      </c>
      <c r="J11" s="671">
        <f t="shared" ref="J11:J21" si="14">I11-F11</f>
        <v>-50622.344560714671</v>
      </c>
      <c r="K11" s="674">
        <f t="shared" ref="K11:K12" si="15">IF(J11&gt;=0,+J11*0.5,0)</f>
        <v>0</v>
      </c>
      <c r="L11" s="671">
        <f t="shared" si="1"/>
        <v>0</v>
      </c>
      <c r="M11" s="671">
        <f t="shared" si="2"/>
        <v>25311.172280357336</v>
      </c>
      <c r="N11" s="675">
        <f>+N10+G11+K11-L11-M11</f>
        <v>-1450395.7316621426</v>
      </c>
      <c r="O11" s="670">
        <f>'6b-ADIT Projection Proration'!I11</f>
        <v>0</v>
      </c>
      <c r="P11" s="671">
        <f t="shared" si="3"/>
        <v>0</v>
      </c>
      <c r="Q11" s="671">
        <f t="shared" ref="Q11:Q21" si="16">+P11+Q10</f>
        <v>0</v>
      </c>
      <c r="R11" s="673">
        <v>0</v>
      </c>
      <c r="S11" s="671">
        <f t="shared" si="4"/>
        <v>0</v>
      </c>
      <c r="T11" s="674">
        <f t="shared" ref="T11:T21" si="17">IF(S11&gt;=0,+S11*E11,0)</f>
        <v>0</v>
      </c>
      <c r="U11" s="671">
        <f t="shared" si="5"/>
        <v>0</v>
      </c>
      <c r="V11" s="671">
        <f t="shared" si="6"/>
        <v>0</v>
      </c>
      <c r="W11" s="675">
        <f t="shared" ref="W11:W12" si="18">+W10+P11+T11-U11-V11</f>
        <v>0</v>
      </c>
      <c r="X11" s="670">
        <f>'6b-ADIT Projection Proration'!K11</f>
        <v>0</v>
      </c>
      <c r="Y11" s="671">
        <f t="shared" si="7"/>
        <v>0</v>
      </c>
      <c r="Z11" s="671">
        <f t="shared" ref="Z11:Z21" si="19">+Y11+Z10</f>
        <v>0</v>
      </c>
      <c r="AA11" s="673">
        <v>0</v>
      </c>
      <c r="AB11" s="671">
        <f t="shared" si="8"/>
        <v>0</v>
      </c>
      <c r="AC11" s="674">
        <f t="shared" ref="AC11:AC21" si="20">IF(AB11&gt;=0,+AB11*E11,0)</f>
        <v>0</v>
      </c>
      <c r="AD11" s="671">
        <f t="shared" si="9"/>
        <v>0</v>
      </c>
      <c r="AE11" s="671">
        <f t="shared" si="10"/>
        <v>0</v>
      </c>
      <c r="AF11" s="675">
        <f t="shared" si="11"/>
        <v>0</v>
      </c>
    </row>
    <row r="12" spans="1:33">
      <c r="A12" s="667">
        <f t="shared" si="0"/>
        <v>4</v>
      </c>
      <c r="B12" s="657" t="s">
        <v>748</v>
      </c>
      <c r="C12" s="652" t="s">
        <v>301</v>
      </c>
      <c r="D12" s="668">
        <f t="shared" ref="D12:D21" si="21">+D11</f>
        <v>2022</v>
      </c>
      <c r="E12" s="669">
        <f>276/365</f>
        <v>0.75616438356164384</v>
      </c>
      <c r="F12" s="670">
        <f>'6b-ADIT Projection Proration'!G12</f>
        <v>-83469.238772618672</v>
      </c>
      <c r="G12" s="671">
        <f t="shared" si="12"/>
        <v>-63116.46548285686</v>
      </c>
      <c r="H12" s="671">
        <f t="shared" si="13"/>
        <v>-209930.85258428479</v>
      </c>
      <c r="I12" s="673">
        <f t="shared" ref="I12:I21" si="22">$I$10</f>
        <v>-134091.58333333334</v>
      </c>
      <c r="J12" s="671">
        <f t="shared" si="14"/>
        <v>-50622.344560714671</v>
      </c>
      <c r="K12" s="674">
        <f t="shared" si="15"/>
        <v>0</v>
      </c>
      <c r="L12" s="671">
        <f t="shared" si="1"/>
        <v>0</v>
      </c>
      <c r="M12" s="671">
        <f t="shared" si="2"/>
        <v>25311.172280357336</v>
      </c>
      <c r="N12" s="675">
        <f t="shared" ref="N12" si="23">+N11+G12+K12-L12-M12</f>
        <v>-1538823.3694253569</v>
      </c>
      <c r="O12" s="670">
        <f>'6b-ADIT Projection Proration'!I12</f>
        <v>0</v>
      </c>
      <c r="P12" s="671">
        <f t="shared" si="3"/>
        <v>0</v>
      </c>
      <c r="Q12" s="671">
        <f t="shared" si="16"/>
        <v>0</v>
      </c>
      <c r="R12" s="673">
        <v>0</v>
      </c>
      <c r="S12" s="671">
        <f t="shared" si="4"/>
        <v>0</v>
      </c>
      <c r="T12" s="674">
        <f t="shared" si="17"/>
        <v>0</v>
      </c>
      <c r="U12" s="671">
        <f t="shared" si="5"/>
        <v>0</v>
      </c>
      <c r="V12" s="671">
        <f t="shared" si="6"/>
        <v>0</v>
      </c>
      <c r="W12" s="675">
        <f t="shared" si="18"/>
        <v>0</v>
      </c>
      <c r="X12" s="670">
        <f>'6b-ADIT Projection Proration'!K12</f>
        <v>0</v>
      </c>
      <c r="Y12" s="671">
        <f t="shared" si="7"/>
        <v>0</v>
      </c>
      <c r="Z12" s="671">
        <f t="shared" si="19"/>
        <v>0</v>
      </c>
      <c r="AA12" s="673">
        <v>0</v>
      </c>
      <c r="AB12" s="671">
        <f t="shared" si="8"/>
        <v>0</v>
      </c>
      <c r="AC12" s="674">
        <f t="shared" si="20"/>
        <v>0</v>
      </c>
      <c r="AD12" s="671">
        <f t="shared" si="9"/>
        <v>0</v>
      </c>
      <c r="AE12" s="671">
        <f t="shared" si="10"/>
        <v>0</v>
      </c>
      <c r="AF12" s="675">
        <f t="shared" si="11"/>
        <v>0</v>
      </c>
    </row>
    <row r="13" spans="1:33">
      <c r="A13" s="667">
        <f t="shared" si="0"/>
        <v>5</v>
      </c>
      <c r="B13" s="657" t="s">
        <v>748</v>
      </c>
      <c r="C13" s="652" t="s">
        <v>302</v>
      </c>
      <c r="D13" s="668">
        <f t="shared" si="21"/>
        <v>2022</v>
      </c>
      <c r="E13" s="669">
        <f>246/365</f>
        <v>0.67397260273972603</v>
      </c>
      <c r="F13" s="670">
        <f>'6b-ADIT Projection Proration'!G13</f>
        <v>-71211.060104085336</v>
      </c>
      <c r="G13" s="671">
        <f>$E13*F13</f>
        <v>-47994.30352220546</v>
      </c>
      <c r="H13" s="671">
        <f t="shared" si="13"/>
        <v>-257925.15610649023</v>
      </c>
      <c r="I13" s="673">
        <f t="shared" si="22"/>
        <v>-134091.58333333334</v>
      </c>
      <c r="J13" s="671">
        <f>I13-F13</f>
        <v>-62880.523229248007</v>
      </c>
      <c r="K13" s="674">
        <f>IF(J13&gt;=0,+J13*0.5,0)</f>
        <v>0</v>
      </c>
      <c r="L13" s="671">
        <f>IF(K13&gt;0,0,IF(I13&lt;0,0,(-(J13)*0.5)))</f>
        <v>0</v>
      </c>
      <c r="M13" s="671">
        <f t="shared" si="2"/>
        <v>31440.261614624003</v>
      </c>
      <c r="N13" s="675">
        <f>+N12+G13+K13-L13-M13</f>
        <v>-1618257.9345621862</v>
      </c>
      <c r="O13" s="670">
        <f>'6b-ADIT Projection Proration'!I13</f>
        <v>0</v>
      </c>
      <c r="P13" s="671">
        <f>$E13*O13</f>
        <v>0</v>
      </c>
      <c r="Q13" s="671">
        <f t="shared" si="16"/>
        <v>0</v>
      </c>
      <c r="R13" s="673">
        <v>0</v>
      </c>
      <c r="S13" s="671">
        <f t="shared" si="4"/>
        <v>0</v>
      </c>
      <c r="T13" s="674">
        <f t="shared" si="17"/>
        <v>0</v>
      </c>
      <c r="U13" s="671">
        <f t="shared" si="5"/>
        <v>0</v>
      </c>
      <c r="V13" s="671">
        <f t="shared" si="6"/>
        <v>0</v>
      </c>
      <c r="W13" s="675">
        <f>+W12+P13+T13-U13-V13</f>
        <v>0</v>
      </c>
      <c r="X13" s="670">
        <f>'6b-ADIT Projection Proration'!K13</f>
        <v>0</v>
      </c>
      <c r="Y13" s="671">
        <f t="shared" si="7"/>
        <v>0</v>
      </c>
      <c r="Z13" s="671">
        <f t="shared" si="19"/>
        <v>0</v>
      </c>
      <c r="AA13" s="673">
        <v>0</v>
      </c>
      <c r="AB13" s="671">
        <f t="shared" si="8"/>
        <v>0</v>
      </c>
      <c r="AC13" s="674">
        <f t="shared" si="20"/>
        <v>0</v>
      </c>
      <c r="AD13" s="671">
        <f t="shared" si="9"/>
        <v>0</v>
      </c>
      <c r="AE13" s="671">
        <f t="shared" si="10"/>
        <v>0</v>
      </c>
      <c r="AF13" s="675">
        <f>+AF12+Y13+AC13-AD13-AE13</f>
        <v>0</v>
      </c>
    </row>
    <row r="14" spans="1:33">
      <c r="A14" s="667">
        <f t="shared" si="0"/>
        <v>6</v>
      </c>
      <c r="B14" s="657" t="s">
        <v>748</v>
      </c>
      <c r="C14" s="652" t="s">
        <v>303</v>
      </c>
      <c r="D14" s="668">
        <f t="shared" si="21"/>
        <v>2022</v>
      </c>
      <c r="E14" s="669">
        <f>215/365</f>
        <v>0.58904109589041098</v>
      </c>
      <c r="F14" s="670">
        <f>'6b-ADIT Projection Proration'!G14</f>
        <v>-71211.060104085336</v>
      </c>
      <c r="G14" s="671">
        <f t="shared" si="12"/>
        <v>-41946.240883228347</v>
      </c>
      <c r="H14" s="671">
        <f t="shared" si="13"/>
        <v>-299871.3969897186</v>
      </c>
      <c r="I14" s="673">
        <f t="shared" si="22"/>
        <v>-134091.58333333334</v>
      </c>
      <c r="J14" s="671">
        <f t="shared" si="14"/>
        <v>-62880.523229248007</v>
      </c>
      <c r="K14" s="674">
        <f t="shared" ref="K14:K21" si="24">IF(J14&gt;=0,+J14*0.5,0)</f>
        <v>0</v>
      </c>
      <c r="L14" s="671">
        <f t="shared" ref="L14:L21" si="25">IF(K14&gt;0,0,IF(I14&lt;0,0,(-(J14)*0.5)))</f>
        <v>0</v>
      </c>
      <c r="M14" s="671">
        <f t="shared" si="2"/>
        <v>31440.261614624003</v>
      </c>
      <c r="N14" s="675">
        <f>+N13+G14+K14-L14-M14</f>
        <v>-1691644.4370600386</v>
      </c>
      <c r="O14" s="670">
        <f>'6b-ADIT Projection Proration'!I14</f>
        <v>0</v>
      </c>
      <c r="P14" s="671">
        <f t="shared" si="3"/>
        <v>0</v>
      </c>
      <c r="Q14" s="671">
        <f t="shared" si="16"/>
        <v>0</v>
      </c>
      <c r="R14" s="673">
        <v>0</v>
      </c>
      <c r="S14" s="671">
        <f t="shared" si="4"/>
        <v>0</v>
      </c>
      <c r="T14" s="674">
        <f t="shared" si="17"/>
        <v>0</v>
      </c>
      <c r="U14" s="671">
        <f t="shared" si="5"/>
        <v>0</v>
      </c>
      <c r="V14" s="671">
        <f t="shared" si="6"/>
        <v>0</v>
      </c>
      <c r="W14" s="675">
        <f>+W13+P14+T14-U14-V14</f>
        <v>0</v>
      </c>
      <c r="X14" s="670">
        <f>'6b-ADIT Projection Proration'!K14</f>
        <v>0</v>
      </c>
      <c r="Y14" s="671">
        <f t="shared" si="7"/>
        <v>0</v>
      </c>
      <c r="Z14" s="671">
        <f t="shared" si="19"/>
        <v>0</v>
      </c>
      <c r="AA14" s="673">
        <v>0</v>
      </c>
      <c r="AB14" s="671">
        <f t="shared" si="8"/>
        <v>0</v>
      </c>
      <c r="AC14" s="674">
        <f t="shared" si="20"/>
        <v>0</v>
      </c>
      <c r="AD14" s="671">
        <f t="shared" si="9"/>
        <v>0</v>
      </c>
      <c r="AE14" s="671">
        <f t="shared" si="10"/>
        <v>0</v>
      </c>
      <c r="AF14" s="675">
        <f t="shared" ref="AF14:AF21" si="26">+AF13+Y14+AC14-AD14-AE14</f>
        <v>0</v>
      </c>
    </row>
    <row r="15" spans="1:33">
      <c r="A15" s="667">
        <f t="shared" si="0"/>
        <v>7</v>
      </c>
      <c r="B15" s="657" t="s">
        <v>748</v>
      </c>
      <c r="C15" s="652" t="s">
        <v>469</v>
      </c>
      <c r="D15" s="668">
        <f t="shared" si="21"/>
        <v>2022</v>
      </c>
      <c r="E15" s="669">
        <f>185/365</f>
        <v>0.50684931506849318</v>
      </c>
      <c r="F15" s="670">
        <f>'6b-ADIT Projection Proration'!G15</f>
        <v>-71211.060104085336</v>
      </c>
      <c r="G15" s="671">
        <f>$E15*F15</f>
        <v>-36093.277039056957</v>
      </c>
      <c r="H15" s="671">
        <f t="shared" si="13"/>
        <v>-335964.67402877554</v>
      </c>
      <c r="I15" s="673">
        <f t="shared" si="22"/>
        <v>-134091.58333333334</v>
      </c>
      <c r="J15" s="671">
        <f>I15-F15</f>
        <v>-62880.523229248007</v>
      </c>
      <c r="K15" s="674">
        <f t="shared" si="24"/>
        <v>0</v>
      </c>
      <c r="L15" s="671">
        <f t="shared" si="25"/>
        <v>0</v>
      </c>
      <c r="M15" s="671">
        <f>IF(K15&gt;0,0,IF(I15&gt;0,0,(-(J15)*0.5)))</f>
        <v>31440.261614624003</v>
      </c>
      <c r="N15" s="675">
        <f>+N14+G15+K15-L15-M15</f>
        <v>-1759177.9757137194</v>
      </c>
      <c r="O15" s="670">
        <f>'6b-ADIT Projection Proration'!I15</f>
        <v>0</v>
      </c>
      <c r="P15" s="671">
        <f t="shared" si="3"/>
        <v>0</v>
      </c>
      <c r="Q15" s="671">
        <f t="shared" si="16"/>
        <v>0</v>
      </c>
      <c r="R15" s="673">
        <v>0</v>
      </c>
      <c r="S15" s="671">
        <f t="shared" si="4"/>
        <v>0</v>
      </c>
      <c r="T15" s="674">
        <f t="shared" si="17"/>
        <v>0</v>
      </c>
      <c r="U15" s="671">
        <f t="shared" si="5"/>
        <v>0</v>
      </c>
      <c r="V15" s="671">
        <f t="shared" si="6"/>
        <v>0</v>
      </c>
      <c r="W15" s="675">
        <f t="shared" ref="W15:W21" si="27">+W14+P15+T15-U15-V15</f>
        <v>0</v>
      </c>
      <c r="X15" s="670">
        <f>'6b-ADIT Projection Proration'!K15</f>
        <v>0</v>
      </c>
      <c r="Y15" s="671">
        <f t="shared" si="7"/>
        <v>0</v>
      </c>
      <c r="Z15" s="671">
        <f t="shared" si="19"/>
        <v>0</v>
      </c>
      <c r="AA15" s="673">
        <v>0</v>
      </c>
      <c r="AB15" s="671">
        <f t="shared" si="8"/>
        <v>0</v>
      </c>
      <c r="AC15" s="674">
        <f t="shared" si="20"/>
        <v>0</v>
      </c>
      <c r="AD15" s="671">
        <f t="shared" si="9"/>
        <v>0</v>
      </c>
      <c r="AE15" s="671">
        <f t="shared" si="10"/>
        <v>0</v>
      </c>
      <c r="AF15" s="675">
        <f t="shared" si="26"/>
        <v>0</v>
      </c>
    </row>
    <row r="16" spans="1:33">
      <c r="A16" s="667">
        <f t="shared" si="0"/>
        <v>8</v>
      </c>
      <c r="B16" s="657" t="s">
        <v>748</v>
      </c>
      <c r="C16" s="652" t="s">
        <v>305</v>
      </c>
      <c r="D16" s="668">
        <f t="shared" si="21"/>
        <v>2022</v>
      </c>
      <c r="E16" s="669">
        <f>154/365</f>
        <v>0.42191780821917807</v>
      </c>
      <c r="F16" s="670">
        <f>'6b-ADIT Projection Proration'!G16</f>
        <v>-71211.060104085336</v>
      </c>
      <c r="G16" s="671">
        <f t="shared" si="12"/>
        <v>-30045.21440007984</v>
      </c>
      <c r="H16" s="671">
        <f t="shared" si="13"/>
        <v>-366009.8884288554</v>
      </c>
      <c r="I16" s="673">
        <f t="shared" si="22"/>
        <v>-134091.58333333334</v>
      </c>
      <c r="J16" s="671">
        <f t="shared" si="14"/>
        <v>-62880.523229248007</v>
      </c>
      <c r="K16" s="674">
        <f t="shared" si="24"/>
        <v>0</v>
      </c>
      <c r="L16" s="671">
        <f t="shared" si="25"/>
        <v>0</v>
      </c>
      <c r="M16" s="671">
        <f t="shared" ref="M16:M21" si="28">IF(K16&gt;0,0,IF(I16&gt;0,0,(-(J16)*0.5)))</f>
        <v>31440.261614624003</v>
      </c>
      <c r="N16" s="675">
        <f t="shared" ref="N16:N21" si="29">+N15+G16+K16-L16-M16</f>
        <v>-1820663.4517284231</v>
      </c>
      <c r="O16" s="670">
        <f>'6b-ADIT Projection Proration'!I16</f>
        <v>0</v>
      </c>
      <c r="P16" s="671">
        <f t="shared" si="3"/>
        <v>0</v>
      </c>
      <c r="Q16" s="671">
        <f t="shared" si="16"/>
        <v>0</v>
      </c>
      <c r="R16" s="673">
        <v>0</v>
      </c>
      <c r="S16" s="671">
        <f t="shared" si="4"/>
        <v>0</v>
      </c>
      <c r="T16" s="674">
        <f t="shared" si="17"/>
        <v>0</v>
      </c>
      <c r="U16" s="671">
        <f t="shared" si="5"/>
        <v>0</v>
      </c>
      <c r="V16" s="671">
        <f t="shared" si="6"/>
        <v>0</v>
      </c>
      <c r="W16" s="675">
        <f t="shared" si="27"/>
        <v>0</v>
      </c>
      <c r="X16" s="670">
        <f>'6b-ADIT Projection Proration'!K16</f>
        <v>0</v>
      </c>
      <c r="Y16" s="671">
        <f t="shared" si="7"/>
        <v>0</v>
      </c>
      <c r="Z16" s="671">
        <f t="shared" si="19"/>
        <v>0</v>
      </c>
      <c r="AA16" s="673">
        <v>0</v>
      </c>
      <c r="AB16" s="671">
        <f t="shared" si="8"/>
        <v>0</v>
      </c>
      <c r="AC16" s="674">
        <f t="shared" si="20"/>
        <v>0</v>
      </c>
      <c r="AD16" s="671">
        <f t="shared" si="9"/>
        <v>0</v>
      </c>
      <c r="AE16" s="671">
        <f t="shared" si="10"/>
        <v>0</v>
      </c>
      <c r="AF16" s="675">
        <f t="shared" si="26"/>
        <v>0</v>
      </c>
    </row>
    <row r="17" spans="1:33">
      <c r="A17" s="667">
        <f t="shared" si="0"/>
        <v>9</v>
      </c>
      <c r="B17" s="657" t="s">
        <v>748</v>
      </c>
      <c r="C17" s="652" t="s">
        <v>306</v>
      </c>
      <c r="D17" s="668">
        <f t="shared" si="21"/>
        <v>2022</v>
      </c>
      <c r="E17" s="669">
        <f>123/365</f>
        <v>0.33698630136986302</v>
      </c>
      <c r="F17" s="670">
        <f>'6b-ADIT Projection Proration'!G17</f>
        <v>-71211.060104085336</v>
      </c>
      <c r="G17" s="671">
        <f t="shared" si="12"/>
        <v>-23997.15176110273</v>
      </c>
      <c r="H17" s="671">
        <f t="shared" si="13"/>
        <v>-390007.04018995812</v>
      </c>
      <c r="I17" s="673">
        <f t="shared" si="22"/>
        <v>-134091.58333333334</v>
      </c>
      <c r="J17" s="671">
        <f t="shared" si="14"/>
        <v>-62880.523229248007</v>
      </c>
      <c r="K17" s="674">
        <f t="shared" si="24"/>
        <v>0</v>
      </c>
      <c r="L17" s="671">
        <f t="shared" si="25"/>
        <v>0</v>
      </c>
      <c r="M17" s="671">
        <f t="shared" si="28"/>
        <v>31440.261614624003</v>
      </c>
      <c r="N17" s="675">
        <f t="shared" si="29"/>
        <v>-1876100.8651041498</v>
      </c>
      <c r="O17" s="670">
        <f>'6b-ADIT Projection Proration'!I17</f>
        <v>0</v>
      </c>
      <c r="P17" s="671">
        <f t="shared" si="3"/>
        <v>0</v>
      </c>
      <c r="Q17" s="671">
        <f t="shared" si="16"/>
        <v>0</v>
      </c>
      <c r="R17" s="673">
        <v>0</v>
      </c>
      <c r="S17" s="671">
        <f t="shared" si="4"/>
        <v>0</v>
      </c>
      <c r="T17" s="674">
        <f t="shared" si="17"/>
        <v>0</v>
      </c>
      <c r="U17" s="671">
        <f t="shared" si="5"/>
        <v>0</v>
      </c>
      <c r="V17" s="671">
        <f t="shared" si="6"/>
        <v>0</v>
      </c>
      <c r="W17" s="675">
        <f t="shared" si="27"/>
        <v>0</v>
      </c>
      <c r="X17" s="670">
        <f>'6b-ADIT Projection Proration'!K17</f>
        <v>0</v>
      </c>
      <c r="Y17" s="671">
        <f t="shared" si="7"/>
        <v>0</v>
      </c>
      <c r="Z17" s="671">
        <f t="shared" si="19"/>
        <v>0</v>
      </c>
      <c r="AA17" s="673">
        <v>0</v>
      </c>
      <c r="AB17" s="671">
        <f t="shared" si="8"/>
        <v>0</v>
      </c>
      <c r="AC17" s="674">
        <f t="shared" si="20"/>
        <v>0</v>
      </c>
      <c r="AD17" s="671">
        <f t="shared" si="9"/>
        <v>0</v>
      </c>
      <c r="AE17" s="671">
        <f t="shared" si="10"/>
        <v>0</v>
      </c>
      <c r="AF17" s="675">
        <f t="shared" si="26"/>
        <v>0</v>
      </c>
    </row>
    <row r="18" spans="1:33">
      <c r="A18" s="667">
        <f t="shared" si="0"/>
        <v>10</v>
      </c>
      <c r="B18" s="657" t="s">
        <v>748</v>
      </c>
      <c r="C18" s="652" t="s">
        <v>307</v>
      </c>
      <c r="D18" s="668">
        <f t="shared" si="21"/>
        <v>2022</v>
      </c>
      <c r="E18" s="669">
        <f>93/365</f>
        <v>0.25479452054794521</v>
      </c>
      <c r="F18" s="670">
        <f>'6b-ADIT Projection Proration'!G18</f>
        <v>-71211.060104085336</v>
      </c>
      <c r="G18" s="671">
        <f t="shared" si="12"/>
        <v>-18144.187916931332</v>
      </c>
      <c r="H18" s="671">
        <f t="shared" si="13"/>
        <v>-408151.22810688947</v>
      </c>
      <c r="I18" s="673">
        <f t="shared" si="22"/>
        <v>-134091.58333333334</v>
      </c>
      <c r="J18" s="671">
        <f t="shared" si="14"/>
        <v>-62880.523229248007</v>
      </c>
      <c r="K18" s="674">
        <f t="shared" si="24"/>
        <v>0</v>
      </c>
      <c r="L18" s="671">
        <f t="shared" si="25"/>
        <v>0</v>
      </c>
      <c r="M18" s="671">
        <f t="shared" si="28"/>
        <v>31440.261614624003</v>
      </c>
      <c r="N18" s="675">
        <f t="shared" si="29"/>
        <v>-1925685.314635705</v>
      </c>
      <c r="O18" s="670">
        <f>'6b-ADIT Projection Proration'!I18</f>
        <v>0</v>
      </c>
      <c r="P18" s="671">
        <f t="shared" si="3"/>
        <v>0</v>
      </c>
      <c r="Q18" s="671">
        <f t="shared" si="16"/>
        <v>0</v>
      </c>
      <c r="R18" s="673">
        <v>0</v>
      </c>
      <c r="S18" s="671">
        <f t="shared" si="4"/>
        <v>0</v>
      </c>
      <c r="T18" s="674">
        <f t="shared" si="17"/>
        <v>0</v>
      </c>
      <c r="U18" s="671">
        <f t="shared" si="5"/>
        <v>0</v>
      </c>
      <c r="V18" s="671">
        <f t="shared" si="6"/>
        <v>0</v>
      </c>
      <c r="W18" s="675">
        <f t="shared" si="27"/>
        <v>0</v>
      </c>
      <c r="X18" s="670">
        <f>'6b-ADIT Projection Proration'!K18</f>
        <v>0</v>
      </c>
      <c r="Y18" s="671">
        <f t="shared" si="7"/>
        <v>0</v>
      </c>
      <c r="Z18" s="671">
        <f t="shared" si="19"/>
        <v>0</v>
      </c>
      <c r="AA18" s="673">
        <v>0</v>
      </c>
      <c r="AB18" s="671">
        <f t="shared" si="8"/>
        <v>0</v>
      </c>
      <c r="AC18" s="674">
        <f t="shared" si="20"/>
        <v>0</v>
      </c>
      <c r="AD18" s="671">
        <f t="shared" si="9"/>
        <v>0</v>
      </c>
      <c r="AE18" s="671">
        <f t="shared" si="10"/>
        <v>0</v>
      </c>
      <c r="AF18" s="675">
        <f t="shared" si="26"/>
        <v>0</v>
      </c>
    </row>
    <row r="19" spans="1:33">
      <c r="A19" s="667">
        <f t="shared" si="0"/>
        <v>11</v>
      </c>
      <c r="B19" s="657" t="s">
        <v>748</v>
      </c>
      <c r="C19" s="652" t="s">
        <v>314</v>
      </c>
      <c r="D19" s="668">
        <f t="shared" si="21"/>
        <v>2022</v>
      </c>
      <c r="E19" s="669">
        <f>62/365</f>
        <v>0.16986301369863013</v>
      </c>
      <c r="F19" s="670">
        <f>'6b-ADIT Projection Proration'!G19</f>
        <v>-71211.060104085336</v>
      </c>
      <c r="G19" s="671">
        <f t="shared" si="12"/>
        <v>-12096.125277954221</v>
      </c>
      <c r="H19" s="671">
        <f t="shared" si="13"/>
        <v>-420247.35338484368</v>
      </c>
      <c r="I19" s="673">
        <f t="shared" si="22"/>
        <v>-134091.58333333334</v>
      </c>
      <c r="J19" s="671">
        <f t="shared" si="14"/>
        <v>-62880.523229248007</v>
      </c>
      <c r="K19" s="674">
        <f t="shared" si="24"/>
        <v>0</v>
      </c>
      <c r="L19" s="671">
        <f t="shared" si="25"/>
        <v>0</v>
      </c>
      <c r="M19" s="671">
        <f t="shared" si="28"/>
        <v>31440.261614624003</v>
      </c>
      <c r="N19" s="675">
        <f t="shared" si="29"/>
        <v>-1969221.7015282831</v>
      </c>
      <c r="O19" s="670">
        <f>'6b-ADIT Projection Proration'!I19</f>
        <v>0</v>
      </c>
      <c r="P19" s="671">
        <f t="shared" si="3"/>
        <v>0</v>
      </c>
      <c r="Q19" s="671">
        <f t="shared" si="16"/>
        <v>0</v>
      </c>
      <c r="R19" s="673">
        <v>0</v>
      </c>
      <c r="S19" s="671">
        <f t="shared" si="4"/>
        <v>0</v>
      </c>
      <c r="T19" s="674">
        <f t="shared" si="17"/>
        <v>0</v>
      </c>
      <c r="U19" s="671">
        <f t="shared" si="5"/>
        <v>0</v>
      </c>
      <c r="V19" s="671">
        <f t="shared" si="6"/>
        <v>0</v>
      </c>
      <c r="W19" s="675">
        <f t="shared" si="27"/>
        <v>0</v>
      </c>
      <c r="X19" s="670">
        <f>'6b-ADIT Projection Proration'!K19</f>
        <v>0</v>
      </c>
      <c r="Y19" s="671">
        <f t="shared" si="7"/>
        <v>0</v>
      </c>
      <c r="Z19" s="671">
        <f t="shared" si="19"/>
        <v>0</v>
      </c>
      <c r="AA19" s="673">
        <v>0</v>
      </c>
      <c r="AB19" s="671">
        <f t="shared" si="8"/>
        <v>0</v>
      </c>
      <c r="AC19" s="674">
        <f t="shared" si="20"/>
        <v>0</v>
      </c>
      <c r="AD19" s="671">
        <f t="shared" si="9"/>
        <v>0</v>
      </c>
      <c r="AE19" s="671">
        <f t="shared" si="10"/>
        <v>0</v>
      </c>
      <c r="AF19" s="675">
        <f t="shared" si="26"/>
        <v>0</v>
      </c>
    </row>
    <row r="20" spans="1:33">
      <c r="A20" s="667">
        <f t="shared" si="0"/>
        <v>12</v>
      </c>
      <c r="B20" s="657" t="s">
        <v>748</v>
      </c>
      <c r="C20" s="652" t="s">
        <v>309</v>
      </c>
      <c r="D20" s="668">
        <f t="shared" si="21"/>
        <v>2022</v>
      </c>
      <c r="E20" s="669">
        <f>32/365</f>
        <v>8.7671232876712329E-2</v>
      </c>
      <c r="F20" s="670">
        <f>'6b-ADIT Projection Proration'!G20</f>
        <v>-71211.060104085336</v>
      </c>
      <c r="G20" s="671">
        <f t="shared" si="12"/>
        <v>-6243.1614337828241</v>
      </c>
      <c r="H20" s="671">
        <f t="shared" si="13"/>
        <v>-426490.51481862651</v>
      </c>
      <c r="I20" s="673">
        <f t="shared" si="22"/>
        <v>-134091.58333333334</v>
      </c>
      <c r="J20" s="671">
        <f t="shared" si="14"/>
        <v>-62880.523229248007</v>
      </c>
      <c r="K20" s="674">
        <f t="shared" si="24"/>
        <v>0</v>
      </c>
      <c r="L20" s="671">
        <f t="shared" si="25"/>
        <v>0</v>
      </c>
      <c r="M20" s="671">
        <f t="shared" si="28"/>
        <v>31440.261614624003</v>
      </c>
      <c r="N20" s="675">
        <f t="shared" si="29"/>
        <v>-2006905.1245766899</v>
      </c>
      <c r="O20" s="670">
        <f>'6b-ADIT Projection Proration'!I20</f>
        <v>0</v>
      </c>
      <c r="P20" s="671">
        <f t="shared" si="3"/>
        <v>0</v>
      </c>
      <c r="Q20" s="671">
        <f t="shared" si="16"/>
        <v>0</v>
      </c>
      <c r="R20" s="673">
        <v>0</v>
      </c>
      <c r="S20" s="671">
        <f t="shared" si="4"/>
        <v>0</v>
      </c>
      <c r="T20" s="674">
        <f t="shared" si="17"/>
        <v>0</v>
      </c>
      <c r="U20" s="671">
        <f t="shared" si="5"/>
        <v>0</v>
      </c>
      <c r="V20" s="671">
        <f t="shared" si="6"/>
        <v>0</v>
      </c>
      <c r="W20" s="675">
        <f t="shared" si="27"/>
        <v>0</v>
      </c>
      <c r="X20" s="670">
        <f>'6b-ADIT Projection Proration'!K20</f>
        <v>0</v>
      </c>
      <c r="Y20" s="671">
        <f t="shared" si="7"/>
        <v>0</v>
      </c>
      <c r="Z20" s="671">
        <f t="shared" si="19"/>
        <v>0</v>
      </c>
      <c r="AA20" s="673">
        <v>0</v>
      </c>
      <c r="AB20" s="671">
        <f t="shared" si="8"/>
        <v>0</v>
      </c>
      <c r="AC20" s="674">
        <f t="shared" si="20"/>
        <v>0</v>
      </c>
      <c r="AD20" s="671">
        <f t="shared" si="9"/>
        <v>0</v>
      </c>
      <c r="AE20" s="671">
        <f t="shared" si="10"/>
        <v>0</v>
      </c>
      <c r="AF20" s="675">
        <f t="shared" si="26"/>
        <v>0</v>
      </c>
    </row>
    <row r="21" spans="1:33">
      <c r="A21" s="667">
        <f t="shared" si="0"/>
        <v>13</v>
      </c>
      <c r="B21" s="657" t="s">
        <v>748</v>
      </c>
      <c r="C21" s="652" t="s">
        <v>296</v>
      </c>
      <c r="D21" s="668">
        <f t="shared" si="21"/>
        <v>2022</v>
      </c>
      <c r="E21" s="669">
        <f>1/365</f>
        <v>2.7397260273972603E-3</v>
      </c>
      <c r="F21" s="676">
        <f>'6b-ADIT Projection Proration'!G21</f>
        <v>-71211.060104085336</v>
      </c>
      <c r="G21" s="677">
        <f t="shared" si="12"/>
        <v>-195.09879480571325</v>
      </c>
      <c r="H21" s="677">
        <f t="shared" si="13"/>
        <v>-426685.61361343222</v>
      </c>
      <c r="I21" s="673">
        <f t="shared" si="22"/>
        <v>-134091.58333333334</v>
      </c>
      <c r="J21" s="671">
        <f t="shared" si="14"/>
        <v>-62880.523229248007</v>
      </c>
      <c r="K21" s="674">
        <f t="shared" si="24"/>
        <v>0</v>
      </c>
      <c r="L21" s="671">
        <f t="shared" si="25"/>
        <v>0</v>
      </c>
      <c r="M21" s="671">
        <f t="shared" si="28"/>
        <v>31440.261614624003</v>
      </c>
      <c r="N21" s="675">
        <f t="shared" si="29"/>
        <v>-2038540.4849861197</v>
      </c>
      <c r="O21" s="676">
        <f>'6b-ADIT Projection Proration'!I21</f>
        <v>0</v>
      </c>
      <c r="P21" s="677">
        <f t="shared" si="3"/>
        <v>0</v>
      </c>
      <c r="Q21" s="677">
        <f t="shared" si="16"/>
        <v>0</v>
      </c>
      <c r="R21" s="678">
        <v>0</v>
      </c>
      <c r="S21" s="671">
        <f t="shared" si="4"/>
        <v>0</v>
      </c>
      <c r="T21" s="674">
        <f t="shared" si="17"/>
        <v>0</v>
      </c>
      <c r="U21" s="671">
        <f t="shared" si="5"/>
        <v>0</v>
      </c>
      <c r="V21" s="671">
        <f t="shared" si="6"/>
        <v>0</v>
      </c>
      <c r="W21" s="675">
        <f t="shared" si="27"/>
        <v>0</v>
      </c>
      <c r="X21" s="676">
        <f>'6b-ADIT Projection Proration'!K21</f>
        <v>0</v>
      </c>
      <c r="Y21" s="677">
        <f t="shared" si="7"/>
        <v>0</v>
      </c>
      <c r="Z21" s="677">
        <f t="shared" si="19"/>
        <v>0</v>
      </c>
      <c r="AA21" s="673">
        <v>0</v>
      </c>
      <c r="AB21" s="671">
        <f t="shared" si="8"/>
        <v>0</v>
      </c>
      <c r="AC21" s="674">
        <f t="shared" si="20"/>
        <v>0</v>
      </c>
      <c r="AD21" s="671">
        <f t="shared" si="9"/>
        <v>0</v>
      </c>
      <c r="AE21" s="671">
        <f t="shared" si="10"/>
        <v>0</v>
      </c>
      <c r="AF21" s="675">
        <f t="shared" si="26"/>
        <v>0</v>
      </c>
    </row>
    <row r="22" spans="1:33">
      <c r="A22" s="667">
        <f t="shared" si="0"/>
        <v>14</v>
      </c>
      <c r="B22" s="657" t="s">
        <v>749</v>
      </c>
      <c r="D22" s="679"/>
      <c r="F22" s="670">
        <f>SUM(F9:F21)</f>
        <v>-891307.25725462427</v>
      </c>
      <c r="G22" s="671">
        <f t="shared" ref="G22:M22" si="30">SUM(G9:G21)</f>
        <v>-426685.61361343222</v>
      </c>
      <c r="H22" s="671"/>
      <c r="I22" s="680">
        <f>SUM(I9:I21)</f>
        <v>-2862058.0000000005</v>
      </c>
      <c r="J22" s="680">
        <f t="shared" si="30"/>
        <v>-717791.74274537608</v>
      </c>
      <c r="K22" s="680">
        <f t="shared" si="30"/>
        <v>0</v>
      </c>
      <c r="L22" s="680">
        <f t="shared" si="30"/>
        <v>0</v>
      </c>
      <c r="M22" s="680">
        <f t="shared" si="30"/>
        <v>358895.87137268804</v>
      </c>
      <c r="N22" s="681"/>
      <c r="O22" s="670">
        <f t="shared" ref="O22:P22" si="31">SUM(O9:O21)</f>
        <v>0</v>
      </c>
      <c r="P22" s="671">
        <f t="shared" si="31"/>
        <v>0</v>
      </c>
      <c r="Q22" s="671"/>
      <c r="R22" s="671">
        <f t="shared" ref="R22:V22" si="32">SUM(R9:R21)</f>
        <v>0</v>
      </c>
      <c r="S22" s="680">
        <f t="shared" si="32"/>
        <v>0</v>
      </c>
      <c r="T22" s="680">
        <f t="shared" si="32"/>
        <v>0</v>
      </c>
      <c r="U22" s="680">
        <f t="shared" si="32"/>
        <v>0</v>
      </c>
      <c r="V22" s="680">
        <f t="shared" si="32"/>
        <v>0</v>
      </c>
      <c r="W22" s="681"/>
      <c r="X22" s="670">
        <f t="shared" ref="X22:Y22" si="33">SUM(X9:X21)</f>
        <v>0</v>
      </c>
      <c r="Y22" s="671">
        <f t="shared" si="33"/>
        <v>0</v>
      </c>
      <c r="Z22" s="671"/>
      <c r="AA22" s="680">
        <f t="shared" ref="AA22:AE22" si="34">SUM(AA9:AA21)</f>
        <v>0</v>
      </c>
      <c r="AB22" s="680">
        <f t="shared" si="34"/>
        <v>0</v>
      </c>
      <c r="AC22" s="680">
        <f t="shared" si="34"/>
        <v>0</v>
      </c>
      <c r="AD22" s="680">
        <f t="shared" si="34"/>
        <v>0</v>
      </c>
      <c r="AE22" s="680">
        <f t="shared" si="34"/>
        <v>0</v>
      </c>
      <c r="AF22" s="681"/>
    </row>
    <row r="23" spans="1:33">
      <c r="A23" s="667"/>
      <c r="F23" s="670"/>
      <c r="G23" s="671"/>
      <c r="H23" s="671"/>
      <c r="I23" s="671"/>
      <c r="J23" s="671"/>
      <c r="K23" s="671"/>
      <c r="L23" s="671"/>
      <c r="M23" s="671"/>
      <c r="N23" s="672"/>
      <c r="O23" s="670"/>
      <c r="P23" s="671"/>
      <c r="Q23" s="671"/>
      <c r="R23" s="671"/>
      <c r="S23" s="671"/>
      <c r="T23" s="671"/>
      <c r="U23" s="671"/>
      <c r="V23" s="671"/>
      <c r="W23" s="672"/>
      <c r="X23" s="670"/>
      <c r="Y23" s="671"/>
      <c r="Z23" s="671"/>
      <c r="AA23" s="671"/>
      <c r="AB23" s="671"/>
      <c r="AC23" s="671"/>
      <c r="AD23" s="671"/>
      <c r="AE23" s="671"/>
      <c r="AF23" s="672"/>
    </row>
    <row r="24" spans="1:33">
      <c r="A24" s="652" t="s">
        <v>821</v>
      </c>
      <c r="D24" s="656"/>
      <c r="E24" s="656"/>
      <c r="F24" s="670"/>
      <c r="G24" s="671"/>
      <c r="H24" s="671"/>
      <c r="I24" s="671"/>
      <c r="J24" s="671"/>
      <c r="K24" s="671"/>
      <c r="L24" s="671"/>
      <c r="M24" s="671"/>
      <c r="N24" s="672"/>
      <c r="O24" s="670"/>
      <c r="P24" s="671"/>
      <c r="Q24" s="671"/>
      <c r="R24" s="671"/>
      <c r="S24" s="671"/>
      <c r="T24" s="671"/>
      <c r="U24" s="671"/>
      <c r="V24" s="671"/>
      <c r="W24" s="672"/>
      <c r="X24" s="670"/>
      <c r="Y24" s="671"/>
      <c r="Z24" s="671"/>
      <c r="AA24" s="671"/>
      <c r="AB24" s="671"/>
      <c r="AC24" s="671"/>
      <c r="AD24" s="671"/>
      <c r="AE24" s="671"/>
      <c r="AF24" s="672"/>
      <c r="AG24" s="656"/>
    </row>
    <row r="25" spans="1:33">
      <c r="A25" s="667">
        <f>A22+1</f>
        <v>15</v>
      </c>
      <c r="B25" s="657" t="s">
        <v>822</v>
      </c>
      <c r="C25" s="652" t="s">
        <v>296</v>
      </c>
      <c r="D25" s="668">
        <f>+D9</f>
        <v>2021</v>
      </c>
      <c r="E25" s="669">
        <f>365/365</f>
        <v>1</v>
      </c>
      <c r="F25" s="670"/>
      <c r="G25" s="671"/>
      <c r="H25" s="671">
        <f>'6c- ADIT BOY'!E74</f>
        <v>-4390001</v>
      </c>
      <c r="I25" s="671">
        <f>+'6c- ADIT BOY'!E74</f>
        <v>-4390001</v>
      </c>
      <c r="J25" s="671"/>
      <c r="K25" s="671"/>
      <c r="L25" s="671"/>
      <c r="M25" s="671"/>
      <c r="N25" s="672">
        <f>I25</f>
        <v>-4390001</v>
      </c>
      <c r="O25" s="670"/>
      <c r="P25" s="671"/>
      <c r="Q25" s="671">
        <f>'6c- ADIT BOY'!F74</f>
        <v>0</v>
      </c>
      <c r="R25" s="671"/>
      <c r="S25" s="671"/>
      <c r="T25" s="671"/>
      <c r="U25" s="671"/>
      <c r="V25" s="671"/>
      <c r="W25" s="672"/>
      <c r="X25" s="670"/>
      <c r="Y25" s="671"/>
      <c r="Z25" s="671">
        <f>'6c- ADIT BOY'!G74</f>
        <v>0</v>
      </c>
      <c r="AA25" s="671"/>
      <c r="AB25" s="671"/>
      <c r="AC25" s="671"/>
      <c r="AD25" s="671"/>
      <c r="AE25" s="671"/>
      <c r="AF25" s="672"/>
    </row>
    <row r="26" spans="1:33">
      <c r="A26" s="667">
        <f t="shared" ref="A26:A38" si="35">+A25+1</f>
        <v>16</v>
      </c>
      <c r="B26" s="657" t="s">
        <v>748</v>
      </c>
      <c r="C26" s="652" t="s">
        <v>298</v>
      </c>
      <c r="D26" s="668">
        <f t="shared" ref="D26:D37" si="36">+D10</f>
        <v>2022</v>
      </c>
      <c r="E26" s="669">
        <f>335/365</f>
        <v>0.9178082191780822</v>
      </c>
      <c r="F26" s="670">
        <f>'6b-ADIT Projection Proration'!G26</f>
        <v>23266.49</v>
      </c>
      <c r="G26" s="671">
        <f t="shared" ref="G26:G37" si="37">$E26*F26</f>
        <v>21354.175753424661</v>
      </c>
      <c r="H26" s="671">
        <f t="shared" ref="H26:H37" si="38">+G26+H25</f>
        <v>-4368646.8242465751</v>
      </c>
      <c r="I26" s="673">
        <f>('6d- ADIT EOY'!E74-'6c- ADIT BOY'!E74)/12</f>
        <v>-174977.83333333334</v>
      </c>
      <c r="J26" s="671">
        <f t="shared" ref="J26:J37" si="39">I26-F26</f>
        <v>-198244.32333333333</v>
      </c>
      <c r="K26" s="674">
        <f t="shared" ref="K26:K28" si="40">IF(J26&gt;=0,+J26*0.5,0)</f>
        <v>0</v>
      </c>
      <c r="L26" s="671">
        <f t="shared" ref="L26:L28" si="41">IF(K26&gt;0,0,IF(I26&lt;0,0,(-(J26)*0.5)))</f>
        <v>0</v>
      </c>
      <c r="M26" s="671">
        <f t="shared" ref="M26:M30" si="42">IF(K26&gt;0,0,IF(I26&gt;0,0,(-(J26)*0.5)))</f>
        <v>99122.161666666667</v>
      </c>
      <c r="N26" s="675">
        <f t="shared" ref="N26:N28" si="43">+N25+G26+K26-L26-M26</f>
        <v>-4467768.9859132422</v>
      </c>
      <c r="O26" s="670">
        <f>'6b-ADIT Projection Proration'!I26</f>
        <v>0</v>
      </c>
      <c r="P26" s="671">
        <f t="shared" ref="P26:P37" si="44">$E26*O26</f>
        <v>0</v>
      </c>
      <c r="Q26" s="671">
        <f t="shared" ref="Q26:Q37" si="45">+P26+Q25</f>
        <v>0</v>
      </c>
      <c r="R26" s="673">
        <v>0</v>
      </c>
      <c r="S26" s="671">
        <f t="shared" ref="S26:S37" si="46">R26-O26</f>
        <v>0</v>
      </c>
      <c r="T26" s="674">
        <f>IF(S26&gt;=0,+S26*E26,0)</f>
        <v>0</v>
      </c>
      <c r="U26" s="671">
        <f t="shared" ref="U26:U37" si="47">IF(T26&gt;0,0,IF(R26&lt;0,0,(-(S26)*($E26))))</f>
        <v>0</v>
      </c>
      <c r="V26" s="671">
        <f t="shared" ref="V26:V37" si="48">IF(T26&gt;0,0,IF(R26&gt;0,0,(-(S26)*($E26))))</f>
        <v>0</v>
      </c>
      <c r="W26" s="675">
        <f>+W25+P26+T26-U26-V26</f>
        <v>0</v>
      </c>
      <c r="X26" s="670">
        <f>'6b-ADIT Projection Proration'!K26</f>
        <v>0</v>
      </c>
      <c r="Y26" s="671">
        <f t="shared" ref="Y26:Y37" si="49">$E26*X26</f>
        <v>0</v>
      </c>
      <c r="Z26" s="671">
        <f t="shared" ref="Z26:Z37" si="50">+Y26+Z25</f>
        <v>0</v>
      </c>
      <c r="AA26" s="673">
        <v>0</v>
      </c>
      <c r="AB26" s="671">
        <f t="shared" ref="AB26:AB37" si="51">AA26-X26</f>
        <v>0</v>
      </c>
      <c r="AC26" s="674">
        <f>IF(AB26&gt;=0,+AB26*E26,0)</f>
        <v>0</v>
      </c>
      <c r="AD26" s="671">
        <f t="shared" ref="AD26:AD37" si="52">IF(AC26&gt;0,0,IF(AA26&lt;0,0,(-(AB26)*($E26))))</f>
        <v>0</v>
      </c>
      <c r="AE26" s="671">
        <f t="shared" ref="AE26:AE37" si="53">IF(AC26&gt;0,0,IF(AA26&gt;0,0,(-(AB26)*($E26))))</f>
        <v>0</v>
      </c>
      <c r="AF26" s="675">
        <f t="shared" ref="AF26:AF28" si="54">+AF25+Y26+AC26-AD26-AE26</f>
        <v>0</v>
      </c>
    </row>
    <row r="27" spans="1:33">
      <c r="A27" s="667">
        <f t="shared" si="35"/>
        <v>17</v>
      </c>
      <c r="B27" s="657" t="s">
        <v>748</v>
      </c>
      <c r="C27" s="652" t="s">
        <v>300</v>
      </c>
      <c r="D27" s="668">
        <f t="shared" si="36"/>
        <v>2022</v>
      </c>
      <c r="E27" s="669">
        <f>307/365</f>
        <v>0.84109589041095889</v>
      </c>
      <c r="F27" s="670">
        <f>'6b-ADIT Projection Proration'!G27</f>
        <v>23266.49</v>
      </c>
      <c r="G27" s="671">
        <f t="shared" si="37"/>
        <v>19569.349123287673</v>
      </c>
      <c r="H27" s="671">
        <f t="shared" si="38"/>
        <v>-4349077.4751232872</v>
      </c>
      <c r="I27" s="673">
        <f>$I$26</f>
        <v>-174977.83333333334</v>
      </c>
      <c r="J27" s="671">
        <f t="shared" si="39"/>
        <v>-198244.32333333333</v>
      </c>
      <c r="K27" s="674">
        <f t="shared" si="40"/>
        <v>0</v>
      </c>
      <c r="L27" s="671">
        <f t="shared" si="41"/>
        <v>0</v>
      </c>
      <c r="M27" s="671">
        <f t="shared" si="42"/>
        <v>99122.161666666667</v>
      </c>
      <c r="N27" s="675">
        <f t="shared" si="43"/>
        <v>-4547321.7984566214</v>
      </c>
      <c r="O27" s="670">
        <f>'6b-ADIT Projection Proration'!I27</f>
        <v>0</v>
      </c>
      <c r="P27" s="671">
        <f t="shared" si="44"/>
        <v>0</v>
      </c>
      <c r="Q27" s="671">
        <f t="shared" si="45"/>
        <v>0</v>
      </c>
      <c r="R27" s="673">
        <v>0</v>
      </c>
      <c r="S27" s="671">
        <f t="shared" si="46"/>
        <v>0</v>
      </c>
      <c r="T27" s="674">
        <f t="shared" ref="T27:T37" si="55">IF(S27&gt;=0,+S27*E27,0)</f>
        <v>0</v>
      </c>
      <c r="U27" s="671">
        <f t="shared" si="47"/>
        <v>0</v>
      </c>
      <c r="V27" s="671">
        <f t="shared" si="48"/>
        <v>0</v>
      </c>
      <c r="W27" s="675">
        <f t="shared" ref="W27:W28" si="56">+W26+P27+T27-U27-V27</f>
        <v>0</v>
      </c>
      <c r="X27" s="670">
        <f>'6b-ADIT Projection Proration'!K27</f>
        <v>0</v>
      </c>
      <c r="Y27" s="671">
        <f t="shared" si="49"/>
        <v>0</v>
      </c>
      <c r="Z27" s="671">
        <f t="shared" si="50"/>
        <v>0</v>
      </c>
      <c r="AA27" s="673">
        <v>0</v>
      </c>
      <c r="AB27" s="671">
        <f t="shared" si="51"/>
        <v>0</v>
      </c>
      <c r="AC27" s="674">
        <f t="shared" ref="AC27:AC37" si="57">IF(AB27&gt;=0,+AB27*E27,0)</f>
        <v>0</v>
      </c>
      <c r="AD27" s="671">
        <f t="shared" si="52"/>
        <v>0</v>
      </c>
      <c r="AE27" s="671">
        <f t="shared" si="53"/>
        <v>0</v>
      </c>
      <c r="AF27" s="675">
        <f t="shared" si="54"/>
        <v>0</v>
      </c>
    </row>
    <row r="28" spans="1:33">
      <c r="A28" s="667">
        <f t="shared" si="35"/>
        <v>18</v>
      </c>
      <c r="B28" s="657" t="s">
        <v>748</v>
      </c>
      <c r="C28" s="652" t="s">
        <v>301</v>
      </c>
      <c r="D28" s="668">
        <f t="shared" si="36"/>
        <v>2022</v>
      </c>
      <c r="E28" s="669">
        <f>276/365</f>
        <v>0.75616438356164384</v>
      </c>
      <c r="F28" s="670">
        <f>'6b-ADIT Projection Proration'!G28</f>
        <v>23266.49</v>
      </c>
      <c r="G28" s="671">
        <f t="shared" si="37"/>
        <v>17593.291068493152</v>
      </c>
      <c r="H28" s="671">
        <f t="shared" si="38"/>
        <v>-4331484.1840547938</v>
      </c>
      <c r="I28" s="673">
        <f t="shared" ref="I28:I37" si="58">$I$26</f>
        <v>-174977.83333333334</v>
      </c>
      <c r="J28" s="671">
        <f t="shared" si="39"/>
        <v>-198244.32333333333</v>
      </c>
      <c r="K28" s="674">
        <f t="shared" si="40"/>
        <v>0</v>
      </c>
      <c r="L28" s="671">
        <f t="shared" si="41"/>
        <v>0</v>
      </c>
      <c r="M28" s="671">
        <f t="shared" si="42"/>
        <v>99122.161666666667</v>
      </c>
      <c r="N28" s="675">
        <f t="shared" si="43"/>
        <v>-4628850.6690547951</v>
      </c>
      <c r="O28" s="670">
        <f>'6b-ADIT Projection Proration'!I28</f>
        <v>0</v>
      </c>
      <c r="P28" s="671">
        <f t="shared" si="44"/>
        <v>0</v>
      </c>
      <c r="Q28" s="671">
        <f t="shared" si="45"/>
        <v>0</v>
      </c>
      <c r="R28" s="673">
        <v>0</v>
      </c>
      <c r="S28" s="671">
        <f t="shared" si="46"/>
        <v>0</v>
      </c>
      <c r="T28" s="674">
        <f t="shared" si="55"/>
        <v>0</v>
      </c>
      <c r="U28" s="671">
        <f t="shared" si="47"/>
        <v>0</v>
      </c>
      <c r="V28" s="671">
        <f t="shared" si="48"/>
        <v>0</v>
      </c>
      <c r="W28" s="675">
        <f t="shared" si="56"/>
        <v>0</v>
      </c>
      <c r="X28" s="670">
        <f>'6b-ADIT Projection Proration'!K28</f>
        <v>0</v>
      </c>
      <c r="Y28" s="671">
        <f t="shared" si="49"/>
        <v>0</v>
      </c>
      <c r="Z28" s="671">
        <f t="shared" si="50"/>
        <v>0</v>
      </c>
      <c r="AA28" s="673">
        <v>0</v>
      </c>
      <c r="AB28" s="671">
        <f t="shared" si="51"/>
        <v>0</v>
      </c>
      <c r="AC28" s="674">
        <f t="shared" si="57"/>
        <v>0</v>
      </c>
      <c r="AD28" s="671">
        <f t="shared" si="52"/>
        <v>0</v>
      </c>
      <c r="AE28" s="671">
        <f t="shared" si="53"/>
        <v>0</v>
      </c>
      <c r="AF28" s="675">
        <f t="shared" si="54"/>
        <v>0</v>
      </c>
    </row>
    <row r="29" spans="1:33">
      <c r="A29" s="667">
        <f t="shared" si="35"/>
        <v>19</v>
      </c>
      <c r="B29" s="657" t="s">
        <v>748</v>
      </c>
      <c r="C29" s="652" t="s">
        <v>302</v>
      </c>
      <c r="D29" s="668">
        <f t="shared" si="36"/>
        <v>2022</v>
      </c>
      <c r="E29" s="669">
        <f>246/365</f>
        <v>0.67397260273972603</v>
      </c>
      <c r="F29" s="670">
        <f>'6b-ADIT Projection Proration'!G29</f>
        <v>23266.49</v>
      </c>
      <c r="G29" s="671">
        <f t="shared" si="37"/>
        <v>15680.97682191781</v>
      </c>
      <c r="H29" s="671">
        <f t="shared" si="38"/>
        <v>-4315803.2072328757</v>
      </c>
      <c r="I29" s="673">
        <f t="shared" si="58"/>
        <v>-174977.83333333334</v>
      </c>
      <c r="J29" s="671">
        <f t="shared" si="39"/>
        <v>-198244.32333333333</v>
      </c>
      <c r="K29" s="674">
        <f>IF(J29&gt;=0,+J29*0.5,0)</f>
        <v>0</v>
      </c>
      <c r="L29" s="671">
        <f>IF(K29&gt;0,0,IF(I29&lt;0,0,(-(J29)*0.5)))</f>
        <v>0</v>
      </c>
      <c r="M29" s="671">
        <f t="shared" si="42"/>
        <v>99122.161666666667</v>
      </c>
      <c r="N29" s="675">
        <f>+N28+G29+K29-L29-M29</f>
        <v>-4712291.8538995441</v>
      </c>
      <c r="O29" s="670">
        <f>'6b-ADIT Projection Proration'!I29</f>
        <v>0</v>
      </c>
      <c r="P29" s="671">
        <f t="shared" si="44"/>
        <v>0</v>
      </c>
      <c r="Q29" s="671">
        <f t="shared" si="45"/>
        <v>0</v>
      </c>
      <c r="R29" s="673">
        <v>0</v>
      </c>
      <c r="S29" s="671">
        <f t="shared" si="46"/>
        <v>0</v>
      </c>
      <c r="T29" s="674">
        <f t="shared" si="55"/>
        <v>0</v>
      </c>
      <c r="U29" s="671">
        <f t="shared" si="47"/>
        <v>0</v>
      </c>
      <c r="V29" s="671">
        <f t="shared" si="48"/>
        <v>0</v>
      </c>
      <c r="W29" s="675">
        <f>+W28+P29+T29-U29-V29</f>
        <v>0</v>
      </c>
      <c r="X29" s="670">
        <f>'6b-ADIT Projection Proration'!K29</f>
        <v>0</v>
      </c>
      <c r="Y29" s="671">
        <f t="shared" si="49"/>
        <v>0</v>
      </c>
      <c r="Z29" s="671">
        <f t="shared" si="50"/>
        <v>0</v>
      </c>
      <c r="AA29" s="673">
        <v>0</v>
      </c>
      <c r="AB29" s="671">
        <f t="shared" si="51"/>
        <v>0</v>
      </c>
      <c r="AC29" s="674">
        <f t="shared" si="57"/>
        <v>0</v>
      </c>
      <c r="AD29" s="671">
        <f t="shared" si="52"/>
        <v>0</v>
      </c>
      <c r="AE29" s="671">
        <f t="shared" si="53"/>
        <v>0</v>
      </c>
      <c r="AF29" s="675">
        <f>+AF28+Y29+AC29-AD29-AE29</f>
        <v>0</v>
      </c>
    </row>
    <row r="30" spans="1:33">
      <c r="A30" s="667">
        <f t="shared" si="35"/>
        <v>20</v>
      </c>
      <c r="B30" s="657" t="s">
        <v>748</v>
      </c>
      <c r="C30" s="652" t="s">
        <v>303</v>
      </c>
      <c r="D30" s="668">
        <f t="shared" si="36"/>
        <v>2022</v>
      </c>
      <c r="E30" s="669">
        <f>215/365</f>
        <v>0.58904109589041098</v>
      </c>
      <c r="F30" s="670">
        <f>'6b-ADIT Projection Proration'!G30</f>
        <v>23266.49</v>
      </c>
      <c r="G30" s="671">
        <f t="shared" si="37"/>
        <v>13704.918767123288</v>
      </c>
      <c r="H30" s="671">
        <f t="shared" si="38"/>
        <v>-4302098.2884657523</v>
      </c>
      <c r="I30" s="673">
        <f t="shared" si="58"/>
        <v>-174977.83333333334</v>
      </c>
      <c r="J30" s="671">
        <f t="shared" si="39"/>
        <v>-198244.32333333333</v>
      </c>
      <c r="K30" s="674">
        <f t="shared" ref="K30:K37" si="59">IF(J30&gt;=0,+J30*0.5,0)</f>
        <v>0</v>
      </c>
      <c r="L30" s="671">
        <f t="shared" ref="L30:L37" si="60">IF(K30&gt;0,0,IF(I30&lt;0,0,(-(J30)*0.5)))</f>
        <v>0</v>
      </c>
      <c r="M30" s="671">
        <f t="shared" si="42"/>
        <v>99122.161666666667</v>
      </c>
      <c r="N30" s="675">
        <f t="shared" ref="N30:N37" si="61">+N29+G30+K30-L30-M30</f>
        <v>-4797709.0967990877</v>
      </c>
      <c r="O30" s="670">
        <f>'6b-ADIT Projection Proration'!I30</f>
        <v>0</v>
      </c>
      <c r="P30" s="671">
        <f t="shared" si="44"/>
        <v>0</v>
      </c>
      <c r="Q30" s="671">
        <f t="shared" si="45"/>
        <v>0</v>
      </c>
      <c r="R30" s="673">
        <v>0</v>
      </c>
      <c r="S30" s="671">
        <f t="shared" si="46"/>
        <v>0</v>
      </c>
      <c r="T30" s="674">
        <f t="shared" si="55"/>
        <v>0</v>
      </c>
      <c r="U30" s="671">
        <f t="shared" si="47"/>
        <v>0</v>
      </c>
      <c r="V30" s="671">
        <f t="shared" si="48"/>
        <v>0</v>
      </c>
      <c r="W30" s="675">
        <f t="shared" ref="W30:W37" si="62">+W29+P30+T30-U30-V30</f>
        <v>0</v>
      </c>
      <c r="X30" s="670">
        <f>'6b-ADIT Projection Proration'!K30</f>
        <v>0</v>
      </c>
      <c r="Y30" s="671">
        <f t="shared" si="49"/>
        <v>0</v>
      </c>
      <c r="Z30" s="671">
        <f t="shared" si="50"/>
        <v>0</v>
      </c>
      <c r="AA30" s="673">
        <v>0</v>
      </c>
      <c r="AB30" s="671">
        <f t="shared" si="51"/>
        <v>0</v>
      </c>
      <c r="AC30" s="674">
        <f t="shared" si="57"/>
        <v>0</v>
      </c>
      <c r="AD30" s="671">
        <f t="shared" si="52"/>
        <v>0</v>
      </c>
      <c r="AE30" s="671">
        <f t="shared" si="53"/>
        <v>0</v>
      </c>
      <c r="AF30" s="675">
        <f t="shared" ref="AF30:AF37" si="63">+AF29+Y30+AC30-AD30-AE30</f>
        <v>0</v>
      </c>
    </row>
    <row r="31" spans="1:33">
      <c r="A31" s="667">
        <f t="shared" si="35"/>
        <v>21</v>
      </c>
      <c r="B31" s="657" t="s">
        <v>748</v>
      </c>
      <c r="C31" s="652" t="s">
        <v>469</v>
      </c>
      <c r="D31" s="668">
        <f t="shared" si="36"/>
        <v>2022</v>
      </c>
      <c r="E31" s="669">
        <f>185/365</f>
        <v>0.50684931506849318</v>
      </c>
      <c r="F31" s="670">
        <f>'6b-ADIT Projection Proration'!G31</f>
        <v>23266.49</v>
      </c>
      <c r="G31" s="671">
        <f t="shared" si="37"/>
        <v>11792.604520547946</v>
      </c>
      <c r="H31" s="671">
        <f t="shared" si="38"/>
        <v>-4290305.6839452041</v>
      </c>
      <c r="I31" s="673">
        <f t="shared" si="58"/>
        <v>-174977.83333333334</v>
      </c>
      <c r="J31" s="671">
        <f t="shared" si="39"/>
        <v>-198244.32333333333</v>
      </c>
      <c r="K31" s="674">
        <f t="shared" si="59"/>
        <v>0</v>
      </c>
      <c r="L31" s="671">
        <f t="shared" si="60"/>
        <v>0</v>
      </c>
      <c r="M31" s="671">
        <f>IF(K31&gt;0,0,IF(I31&gt;0,0,(-(J31)*0.5)))</f>
        <v>99122.161666666667</v>
      </c>
      <c r="N31" s="675">
        <f t="shared" si="61"/>
        <v>-4885038.6539452067</v>
      </c>
      <c r="O31" s="670">
        <f>'6b-ADIT Projection Proration'!I31</f>
        <v>0</v>
      </c>
      <c r="P31" s="671">
        <f t="shared" si="44"/>
        <v>0</v>
      </c>
      <c r="Q31" s="671">
        <f t="shared" si="45"/>
        <v>0</v>
      </c>
      <c r="R31" s="673">
        <v>0</v>
      </c>
      <c r="S31" s="671">
        <f t="shared" si="46"/>
        <v>0</v>
      </c>
      <c r="T31" s="674">
        <f t="shared" si="55"/>
        <v>0</v>
      </c>
      <c r="U31" s="671">
        <f t="shared" si="47"/>
        <v>0</v>
      </c>
      <c r="V31" s="671">
        <f t="shared" si="48"/>
        <v>0</v>
      </c>
      <c r="W31" s="675">
        <f t="shared" si="62"/>
        <v>0</v>
      </c>
      <c r="X31" s="670">
        <f>'6b-ADIT Projection Proration'!K31</f>
        <v>0</v>
      </c>
      <c r="Y31" s="671">
        <f t="shared" si="49"/>
        <v>0</v>
      </c>
      <c r="Z31" s="671">
        <f t="shared" si="50"/>
        <v>0</v>
      </c>
      <c r="AA31" s="673">
        <v>0</v>
      </c>
      <c r="AB31" s="671">
        <f t="shared" si="51"/>
        <v>0</v>
      </c>
      <c r="AC31" s="674">
        <f t="shared" si="57"/>
        <v>0</v>
      </c>
      <c r="AD31" s="671">
        <f t="shared" si="52"/>
        <v>0</v>
      </c>
      <c r="AE31" s="671">
        <f t="shared" si="53"/>
        <v>0</v>
      </c>
      <c r="AF31" s="675">
        <f t="shared" si="63"/>
        <v>0</v>
      </c>
    </row>
    <row r="32" spans="1:33">
      <c r="A32" s="667">
        <f t="shared" si="35"/>
        <v>22</v>
      </c>
      <c r="B32" s="657" t="s">
        <v>748</v>
      </c>
      <c r="C32" s="652" t="s">
        <v>305</v>
      </c>
      <c r="D32" s="668">
        <f t="shared" si="36"/>
        <v>2022</v>
      </c>
      <c r="E32" s="669">
        <f>154/365</f>
        <v>0.42191780821917807</v>
      </c>
      <c r="F32" s="670">
        <f>'6b-ADIT Projection Proration'!G32</f>
        <v>23266.49</v>
      </c>
      <c r="G32" s="671">
        <f t="shared" si="37"/>
        <v>9816.5464657534249</v>
      </c>
      <c r="H32" s="671">
        <f t="shared" si="38"/>
        <v>-4280489.1374794506</v>
      </c>
      <c r="I32" s="673">
        <f t="shared" si="58"/>
        <v>-174977.83333333334</v>
      </c>
      <c r="J32" s="671">
        <f t="shared" si="39"/>
        <v>-198244.32333333333</v>
      </c>
      <c r="K32" s="674">
        <f t="shared" si="59"/>
        <v>0</v>
      </c>
      <c r="L32" s="671">
        <f t="shared" si="60"/>
        <v>0</v>
      </c>
      <c r="M32" s="671">
        <f t="shared" ref="M32:M37" si="64">IF(K32&gt;0,0,IF(I32&gt;0,0,(-(J32)*0.5)))</f>
        <v>99122.161666666667</v>
      </c>
      <c r="N32" s="675">
        <f t="shared" si="61"/>
        <v>-4974344.2691461202</v>
      </c>
      <c r="O32" s="670">
        <f>'6b-ADIT Projection Proration'!I32</f>
        <v>0</v>
      </c>
      <c r="P32" s="671">
        <f t="shared" si="44"/>
        <v>0</v>
      </c>
      <c r="Q32" s="671">
        <f t="shared" si="45"/>
        <v>0</v>
      </c>
      <c r="R32" s="673">
        <v>0</v>
      </c>
      <c r="S32" s="671">
        <f t="shared" si="46"/>
        <v>0</v>
      </c>
      <c r="T32" s="674">
        <f t="shared" si="55"/>
        <v>0</v>
      </c>
      <c r="U32" s="671">
        <f t="shared" si="47"/>
        <v>0</v>
      </c>
      <c r="V32" s="671">
        <f t="shared" si="48"/>
        <v>0</v>
      </c>
      <c r="W32" s="675">
        <f t="shared" si="62"/>
        <v>0</v>
      </c>
      <c r="X32" s="670">
        <f>'6b-ADIT Projection Proration'!K32</f>
        <v>0</v>
      </c>
      <c r="Y32" s="671">
        <f t="shared" si="49"/>
        <v>0</v>
      </c>
      <c r="Z32" s="671">
        <f t="shared" si="50"/>
        <v>0</v>
      </c>
      <c r="AA32" s="673">
        <v>0</v>
      </c>
      <c r="AB32" s="671">
        <f t="shared" si="51"/>
        <v>0</v>
      </c>
      <c r="AC32" s="674">
        <f t="shared" si="57"/>
        <v>0</v>
      </c>
      <c r="AD32" s="671">
        <f t="shared" si="52"/>
        <v>0</v>
      </c>
      <c r="AE32" s="671">
        <f t="shared" si="53"/>
        <v>0</v>
      </c>
      <c r="AF32" s="675">
        <f t="shared" si="63"/>
        <v>0</v>
      </c>
    </row>
    <row r="33" spans="1:33">
      <c r="A33" s="667">
        <f t="shared" si="35"/>
        <v>23</v>
      </c>
      <c r="B33" s="657" t="s">
        <v>748</v>
      </c>
      <c r="C33" s="652" t="s">
        <v>306</v>
      </c>
      <c r="D33" s="668">
        <f t="shared" si="36"/>
        <v>2022</v>
      </c>
      <c r="E33" s="669">
        <f>123/365</f>
        <v>0.33698630136986302</v>
      </c>
      <c r="F33" s="670">
        <f>'6b-ADIT Projection Proration'!G33</f>
        <v>23266.49</v>
      </c>
      <c r="G33" s="671">
        <f t="shared" si="37"/>
        <v>7840.4884109589048</v>
      </c>
      <c r="H33" s="671">
        <f t="shared" si="38"/>
        <v>-4272648.6490684915</v>
      </c>
      <c r="I33" s="673">
        <f t="shared" si="58"/>
        <v>-174977.83333333334</v>
      </c>
      <c r="J33" s="671">
        <f t="shared" si="39"/>
        <v>-198244.32333333333</v>
      </c>
      <c r="K33" s="674">
        <f t="shared" si="59"/>
        <v>0</v>
      </c>
      <c r="L33" s="671">
        <f t="shared" si="60"/>
        <v>0</v>
      </c>
      <c r="M33" s="671">
        <f t="shared" si="64"/>
        <v>99122.161666666667</v>
      </c>
      <c r="N33" s="675">
        <f t="shared" si="61"/>
        <v>-5065625.9424018282</v>
      </c>
      <c r="O33" s="670">
        <f>'6b-ADIT Projection Proration'!I33</f>
        <v>0</v>
      </c>
      <c r="P33" s="671">
        <f t="shared" si="44"/>
        <v>0</v>
      </c>
      <c r="Q33" s="671">
        <f t="shared" si="45"/>
        <v>0</v>
      </c>
      <c r="R33" s="673">
        <v>0</v>
      </c>
      <c r="S33" s="671">
        <f t="shared" si="46"/>
        <v>0</v>
      </c>
      <c r="T33" s="674">
        <f t="shared" si="55"/>
        <v>0</v>
      </c>
      <c r="U33" s="671">
        <f t="shared" si="47"/>
        <v>0</v>
      </c>
      <c r="V33" s="671">
        <f t="shared" si="48"/>
        <v>0</v>
      </c>
      <c r="W33" s="675">
        <f t="shared" si="62"/>
        <v>0</v>
      </c>
      <c r="X33" s="670">
        <f>'6b-ADIT Projection Proration'!K33</f>
        <v>0</v>
      </c>
      <c r="Y33" s="671">
        <f t="shared" si="49"/>
        <v>0</v>
      </c>
      <c r="Z33" s="671">
        <f t="shared" si="50"/>
        <v>0</v>
      </c>
      <c r="AA33" s="673">
        <v>0</v>
      </c>
      <c r="AB33" s="671">
        <f t="shared" si="51"/>
        <v>0</v>
      </c>
      <c r="AC33" s="674">
        <f t="shared" si="57"/>
        <v>0</v>
      </c>
      <c r="AD33" s="671">
        <f t="shared" si="52"/>
        <v>0</v>
      </c>
      <c r="AE33" s="671">
        <f t="shared" si="53"/>
        <v>0</v>
      </c>
      <c r="AF33" s="675">
        <f t="shared" si="63"/>
        <v>0</v>
      </c>
    </row>
    <row r="34" spans="1:33">
      <c r="A34" s="667">
        <f t="shared" si="35"/>
        <v>24</v>
      </c>
      <c r="B34" s="657" t="s">
        <v>748</v>
      </c>
      <c r="C34" s="652" t="s">
        <v>307</v>
      </c>
      <c r="D34" s="668">
        <f t="shared" si="36"/>
        <v>2022</v>
      </c>
      <c r="E34" s="669">
        <f>93/365</f>
        <v>0.25479452054794521</v>
      </c>
      <c r="F34" s="670">
        <f>'6b-ADIT Projection Proration'!G34</f>
        <v>23266.49</v>
      </c>
      <c r="G34" s="671">
        <f t="shared" si="37"/>
        <v>5928.1741643835621</v>
      </c>
      <c r="H34" s="671">
        <f t="shared" si="38"/>
        <v>-4266720.4749041079</v>
      </c>
      <c r="I34" s="673">
        <f t="shared" si="58"/>
        <v>-174977.83333333334</v>
      </c>
      <c r="J34" s="671">
        <f t="shared" si="39"/>
        <v>-198244.32333333333</v>
      </c>
      <c r="K34" s="674">
        <f t="shared" si="59"/>
        <v>0</v>
      </c>
      <c r="L34" s="671">
        <f t="shared" si="60"/>
        <v>0</v>
      </c>
      <c r="M34" s="671">
        <f t="shared" si="64"/>
        <v>99122.161666666667</v>
      </c>
      <c r="N34" s="675">
        <f t="shared" si="61"/>
        <v>-5158819.9299041117</v>
      </c>
      <c r="O34" s="670">
        <f>'6b-ADIT Projection Proration'!I34</f>
        <v>0</v>
      </c>
      <c r="P34" s="671">
        <f t="shared" si="44"/>
        <v>0</v>
      </c>
      <c r="Q34" s="671">
        <f t="shared" si="45"/>
        <v>0</v>
      </c>
      <c r="R34" s="673">
        <v>0</v>
      </c>
      <c r="S34" s="671">
        <f t="shared" si="46"/>
        <v>0</v>
      </c>
      <c r="T34" s="674">
        <f t="shared" si="55"/>
        <v>0</v>
      </c>
      <c r="U34" s="671">
        <f t="shared" si="47"/>
        <v>0</v>
      </c>
      <c r="V34" s="671">
        <f t="shared" si="48"/>
        <v>0</v>
      </c>
      <c r="W34" s="675">
        <f t="shared" si="62"/>
        <v>0</v>
      </c>
      <c r="X34" s="670">
        <f>'6b-ADIT Projection Proration'!K34</f>
        <v>0</v>
      </c>
      <c r="Y34" s="671">
        <f t="shared" si="49"/>
        <v>0</v>
      </c>
      <c r="Z34" s="671">
        <f t="shared" si="50"/>
        <v>0</v>
      </c>
      <c r="AA34" s="673">
        <v>0</v>
      </c>
      <c r="AB34" s="671">
        <f t="shared" si="51"/>
        <v>0</v>
      </c>
      <c r="AC34" s="674">
        <f t="shared" si="57"/>
        <v>0</v>
      </c>
      <c r="AD34" s="671">
        <f t="shared" si="52"/>
        <v>0</v>
      </c>
      <c r="AE34" s="671">
        <f t="shared" si="53"/>
        <v>0</v>
      </c>
      <c r="AF34" s="675">
        <f t="shared" si="63"/>
        <v>0</v>
      </c>
    </row>
    <row r="35" spans="1:33">
      <c r="A35" s="667">
        <f t="shared" si="35"/>
        <v>25</v>
      </c>
      <c r="B35" s="657" t="s">
        <v>748</v>
      </c>
      <c r="C35" s="652" t="s">
        <v>314</v>
      </c>
      <c r="D35" s="668">
        <f t="shared" si="36"/>
        <v>2022</v>
      </c>
      <c r="E35" s="669">
        <f>62/365</f>
        <v>0.16986301369863013</v>
      </c>
      <c r="F35" s="670">
        <f>'6b-ADIT Projection Proration'!G35</f>
        <v>23266.49</v>
      </c>
      <c r="G35" s="671">
        <f t="shared" si="37"/>
        <v>3952.1161095890411</v>
      </c>
      <c r="H35" s="671">
        <f t="shared" si="38"/>
        <v>-4262768.3587945187</v>
      </c>
      <c r="I35" s="673">
        <f t="shared" si="58"/>
        <v>-174977.83333333334</v>
      </c>
      <c r="J35" s="671">
        <f t="shared" si="39"/>
        <v>-198244.32333333333</v>
      </c>
      <c r="K35" s="674">
        <f t="shared" si="59"/>
        <v>0</v>
      </c>
      <c r="L35" s="671">
        <f t="shared" si="60"/>
        <v>0</v>
      </c>
      <c r="M35" s="671">
        <f t="shared" si="64"/>
        <v>99122.161666666667</v>
      </c>
      <c r="N35" s="675">
        <f t="shared" si="61"/>
        <v>-5253989.9754611896</v>
      </c>
      <c r="O35" s="670">
        <f>'6b-ADIT Projection Proration'!I35</f>
        <v>0</v>
      </c>
      <c r="P35" s="671">
        <f t="shared" si="44"/>
        <v>0</v>
      </c>
      <c r="Q35" s="671">
        <f t="shared" si="45"/>
        <v>0</v>
      </c>
      <c r="R35" s="673">
        <v>0</v>
      </c>
      <c r="S35" s="671">
        <f t="shared" si="46"/>
        <v>0</v>
      </c>
      <c r="T35" s="674">
        <f t="shared" si="55"/>
        <v>0</v>
      </c>
      <c r="U35" s="671">
        <f t="shared" si="47"/>
        <v>0</v>
      </c>
      <c r="V35" s="671">
        <f t="shared" si="48"/>
        <v>0</v>
      </c>
      <c r="W35" s="675">
        <f t="shared" si="62"/>
        <v>0</v>
      </c>
      <c r="X35" s="670">
        <f>'6b-ADIT Projection Proration'!K35</f>
        <v>0</v>
      </c>
      <c r="Y35" s="671">
        <f t="shared" si="49"/>
        <v>0</v>
      </c>
      <c r="Z35" s="671">
        <f t="shared" si="50"/>
        <v>0</v>
      </c>
      <c r="AA35" s="673">
        <v>0</v>
      </c>
      <c r="AB35" s="671">
        <f t="shared" si="51"/>
        <v>0</v>
      </c>
      <c r="AC35" s="674">
        <f t="shared" si="57"/>
        <v>0</v>
      </c>
      <c r="AD35" s="671">
        <f t="shared" si="52"/>
        <v>0</v>
      </c>
      <c r="AE35" s="671">
        <f t="shared" si="53"/>
        <v>0</v>
      </c>
      <c r="AF35" s="675">
        <f t="shared" si="63"/>
        <v>0</v>
      </c>
    </row>
    <row r="36" spans="1:33">
      <c r="A36" s="667">
        <f t="shared" si="35"/>
        <v>26</v>
      </c>
      <c r="B36" s="657" t="s">
        <v>748</v>
      </c>
      <c r="C36" s="652" t="s">
        <v>309</v>
      </c>
      <c r="D36" s="668">
        <f t="shared" si="36"/>
        <v>2022</v>
      </c>
      <c r="E36" s="669">
        <f>32/365</f>
        <v>8.7671232876712329E-2</v>
      </c>
      <c r="F36" s="670">
        <f>'6b-ADIT Projection Proration'!G36</f>
        <v>23266.49</v>
      </c>
      <c r="G36" s="671">
        <f t="shared" si="37"/>
        <v>2039.8018630136987</v>
      </c>
      <c r="H36" s="671">
        <f t="shared" si="38"/>
        <v>-4260728.556931505</v>
      </c>
      <c r="I36" s="673">
        <f t="shared" si="58"/>
        <v>-174977.83333333334</v>
      </c>
      <c r="J36" s="671">
        <f t="shared" si="39"/>
        <v>-198244.32333333333</v>
      </c>
      <c r="K36" s="674">
        <f t="shared" si="59"/>
        <v>0</v>
      </c>
      <c r="L36" s="671">
        <f t="shared" si="60"/>
        <v>0</v>
      </c>
      <c r="M36" s="671">
        <f t="shared" si="64"/>
        <v>99122.161666666667</v>
      </c>
      <c r="N36" s="675">
        <f t="shared" si="61"/>
        <v>-5351072.335264843</v>
      </c>
      <c r="O36" s="670">
        <f>'6b-ADIT Projection Proration'!I36</f>
        <v>0</v>
      </c>
      <c r="P36" s="671">
        <f t="shared" si="44"/>
        <v>0</v>
      </c>
      <c r="Q36" s="671">
        <f t="shared" si="45"/>
        <v>0</v>
      </c>
      <c r="R36" s="673">
        <v>0</v>
      </c>
      <c r="S36" s="671">
        <f t="shared" si="46"/>
        <v>0</v>
      </c>
      <c r="T36" s="674">
        <f t="shared" si="55"/>
        <v>0</v>
      </c>
      <c r="U36" s="671">
        <f t="shared" si="47"/>
        <v>0</v>
      </c>
      <c r="V36" s="671">
        <f t="shared" si="48"/>
        <v>0</v>
      </c>
      <c r="W36" s="675">
        <f t="shared" si="62"/>
        <v>0</v>
      </c>
      <c r="X36" s="670">
        <f>'6b-ADIT Projection Proration'!K36</f>
        <v>0</v>
      </c>
      <c r="Y36" s="671">
        <f t="shared" si="49"/>
        <v>0</v>
      </c>
      <c r="Z36" s="671">
        <f t="shared" si="50"/>
        <v>0</v>
      </c>
      <c r="AA36" s="673">
        <v>0</v>
      </c>
      <c r="AB36" s="671">
        <f t="shared" si="51"/>
        <v>0</v>
      </c>
      <c r="AC36" s="674">
        <f t="shared" si="57"/>
        <v>0</v>
      </c>
      <c r="AD36" s="671">
        <f t="shared" si="52"/>
        <v>0</v>
      </c>
      <c r="AE36" s="671">
        <f t="shared" si="53"/>
        <v>0</v>
      </c>
      <c r="AF36" s="675">
        <f t="shared" si="63"/>
        <v>0</v>
      </c>
    </row>
    <row r="37" spans="1:33">
      <c r="A37" s="667">
        <f t="shared" si="35"/>
        <v>27</v>
      </c>
      <c r="B37" s="657" t="s">
        <v>748</v>
      </c>
      <c r="C37" s="652" t="s">
        <v>296</v>
      </c>
      <c r="D37" s="668">
        <f t="shared" si="36"/>
        <v>2022</v>
      </c>
      <c r="E37" s="669">
        <f>1/365</f>
        <v>2.7397260273972603E-3</v>
      </c>
      <c r="F37" s="676">
        <f>'6b-ADIT Projection Proration'!G37</f>
        <v>23266.49</v>
      </c>
      <c r="G37" s="677">
        <f t="shared" si="37"/>
        <v>63.743808219178085</v>
      </c>
      <c r="H37" s="677">
        <f t="shared" si="38"/>
        <v>-4260664.8131232858</v>
      </c>
      <c r="I37" s="673">
        <f t="shared" si="58"/>
        <v>-174977.83333333334</v>
      </c>
      <c r="J37" s="671">
        <f t="shared" si="39"/>
        <v>-198244.32333333333</v>
      </c>
      <c r="K37" s="674">
        <f t="shared" si="59"/>
        <v>0</v>
      </c>
      <c r="L37" s="671">
        <f t="shared" si="60"/>
        <v>0</v>
      </c>
      <c r="M37" s="671">
        <f t="shared" si="64"/>
        <v>99122.161666666667</v>
      </c>
      <c r="N37" s="675">
        <f t="shared" si="61"/>
        <v>-5450130.7531232908</v>
      </c>
      <c r="O37" s="676">
        <f>'6b-ADIT Projection Proration'!I37</f>
        <v>0</v>
      </c>
      <c r="P37" s="677">
        <f t="shared" si="44"/>
        <v>0</v>
      </c>
      <c r="Q37" s="677">
        <f t="shared" si="45"/>
        <v>0</v>
      </c>
      <c r="R37" s="678">
        <v>0</v>
      </c>
      <c r="S37" s="671">
        <f t="shared" si="46"/>
        <v>0</v>
      </c>
      <c r="T37" s="674">
        <f t="shared" si="55"/>
        <v>0</v>
      </c>
      <c r="U37" s="671">
        <f t="shared" si="47"/>
        <v>0</v>
      </c>
      <c r="V37" s="671">
        <f t="shared" si="48"/>
        <v>0</v>
      </c>
      <c r="W37" s="675">
        <f t="shared" si="62"/>
        <v>0</v>
      </c>
      <c r="X37" s="676">
        <f>'6b-ADIT Projection Proration'!K37</f>
        <v>0</v>
      </c>
      <c r="Y37" s="677">
        <f t="shared" si="49"/>
        <v>0</v>
      </c>
      <c r="Z37" s="677">
        <f t="shared" si="50"/>
        <v>0</v>
      </c>
      <c r="AA37" s="673">
        <v>0</v>
      </c>
      <c r="AB37" s="671">
        <f t="shared" si="51"/>
        <v>0</v>
      </c>
      <c r="AC37" s="674">
        <f t="shared" si="57"/>
        <v>0</v>
      </c>
      <c r="AD37" s="671">
        <f t="shared" si="52"/>
        <v>0</v>
      </c>
      <c r="AE37" s="671">
        <f t="shared" si="53"/>
        <v>0</v>
      </c>
      <c r="AF37" s="675">
        <f t="shared" si="63"/>
        <v>0</v>
      </c>
    </row>
    <row r="38" spans="1:33">
      <c r="A38" s="667">
        <f t="shared" si="35"/>
        <v>28</v>
      </c>
      <c r="B38" s="657" t="s">
        <v>752</v>
      </c>
      <c r="F38" s="670">
        <f t="shared" ref="F38:M38" si="65">SUM(F25:F37)</f>
        <v>279197.87999999995</v>
      </c>
      <c r="G38" s="680">
        <f t="shared" si="65"/>
        <v>129336.18687671234</v>
      </c>
      <c r="H38" s="671"/>
      <c r="I38" s="680">
        <f t="shared" si="65"/>
        <v>-6489734.9999999963</v>
      </c>
      <c r="J38" s="680">
        <f t="shared" si="65"/>
        <v>-2378931.8799999994</v>
      </c>
      <c r="K38" s="680">
        <f t="shared" si="65"/>
        <v>0</v>
      </c>
      <c r="L38" s="680">
        <f t="shared" si="65"/>
        <v>0</v>
      </c>
      <c r="M38" s="680">
        <f t="shared" si="65"/>
        <v>1189465.9399999997</v>
      </c>
      <c r="N38" s="681"/>
      <c r="O38" s="670">
        <f t="shared" ref="O38:P38" si="66">SUM(O25:O37)</f>
        <v>0</v>
      </c>
      <c r="P38" s="680">
        <f t="shared" si="66"/>
        <v>0</v>
      </c>
      <c r="Q38" s="671"/>
      <c r="R38" s="671">
        <f t="shared" ref="R38:V38" si="67">SUM(R25:R37)</f>
        <v>0</v>
      </c>
      <c r="S38" s="680">
        <f t="shared" si="67"/>
        <v>0</v>
      </c>
      <c r="T38" s="680">
        <f t="shared" si="67"/>
        <v>0</v>
      </c>
      <c r="U38" s="680">
        <f t="shared" si="67"/>
        <v>0</v>
      </c>
      <c r="V38" s="680">
        <f t="shared" si="67"/>
        <v>0</v>
      </c>
      <c r="W38" s="681"/>
      <c r="X38" s="670">
        <f t="shared" ref="X38:Y38" si="68">SUM(X25:X37)</f>
        <v>0</v>
      </c>
      <c r="Y38" s="680">
        <f t="shared" si="68"/>
        <v>0</v>
      </c>
      <c r="Z38" s="671"/>
      <c r="AA38" s="680">
        <f t="shared" ref="AA38:AE38" si="69">SUM(AA25:AA37)</f>
        <v>0</v>
      </c>
      <c r="AB38" s="680">
        <f t="shared" si="69"/>
        <v>0</v>
      </c>
      <c r="AC38" s="680">
        <f t="shared" si="69"/>
        <v>0</v>
      </c>
      <c r="AD38" s="680">
        <f t="shared" si="69"/>
        <v>0</v>
      </c>
      <c r="AE38" s="680">
        <f t="shared" si="69"/>
        <v>0</v>
      </c>
      <c r="AF38" s="681"/>
    </row>
    <row r="39" spans="1:33">
      <c r="A39" s="667"/>
      <c r="F39" s="670"/>
      <c r="G39" s="671"/>
      <c r="H39" s="671"/>
      <c r="I39" s="671"/>
      <c r="J39" s="671"/>
      <c r="K39" s="671"/>
      <c r="L39" s="671"/>
      <c r="M39" s="671"/>
      <c r="N39" s="672"/>
      <c r="O39" s="670"/>
      <c r="P39" s="671"/>
      <c r="Q39" s="671"/>
      <c r="R39" s="671"/>
      <c r="S39" s="671"/>
      <c r="T39" s="671"/>
      <c r="U39" s="671"/>
      <c r="V39" s="671"/>
      <c r="W39" s="672"/>
      <c r="X39" s="670"/>
      <c r="Y39" s="671"/>
      <c r="Z39" s="671"/>
      <c r="AA39" s="671"/>
      <c r="AB39" s="671"/>
      <c r="AC39" s="671"/>
      <c r="AD39" s="671"/>
      <c r="AE39" s="671"/>
      <c r="AF39" s="672"/>
    </row>
    <row r="40" spans="1:33">
      <c r="A40" s="652" t="s">
        <v>823</v>
      </c>
      <c r="D40" s="656"/>
      <c r="E40" s="656"/>
      <c r="F40" s="670"/>
      <c r="G40" s="671"/>
      <c r="H40" s="671"/>
      <c r="I40" s="671"/>
      <c r="J40" s="671"/>
      <c r="K40" s="671"/>
      <c r="L40" s="671"/>
      <c r="M40" s="671"/>
      <c r="N40" s="672"/>
      <c r="O40" s="670"/>
      <c r="P40" s="671"/>
      <c r="Q40" s="671"/>
      <c r="R40" s="671"/>
      <c r="S40" s="671"/>
      <c r="T40" s="671"/>
      <c r="U40" s="671"/>
      <c r="V40" s="671"/>
      <c r="W40" s="672"/>
      <c r="X40" s="670"/>
      <c r="Y40" s="671"/>
      <c r="Z40" s="671"/>
      <c r="AA40" s="671"/>
      <c r="AB40" s="671"/>
      <c r="AC40" s="671"/>
      <c r="AD40" s="671"/>
      <c r="AE40" s="671"/>
      <c r="AF40" s="672"/>
      <c r="AG40" s="656"/>
    </row>
    <row r="41" spans="1:33">
      <c r="A41" s="667">
        <f>A38+1</f>
        <v>29</v>
      </c>
      <c r="B41" s="657" t="s">
        <v>824</v>
      </c>
      <c r="C41" s="652" t="s">
        <v>296</v>
      </c>
      <c r="D41" s="668">
        <f>+D9</f>
        <v>2021</v>
      </c>
      <c r="E41" s="669">
        <f>365/365</f>
        <v>1</v>
      </c>
      <c r="F41" s="670"/>
      <c r="G41" s="671"/>
      <c r="H41" s="671">
        <f>'6c- ADIT BOY'!E28</f>
        <v>0</v>
      </c>
      <c r="I41" s="671"/>
      <c r="J41" s="671"/>
      <c r="K41" s="671"/>
      <c r="L41" s="671"/>
      <c r="M41" s="671"/>
      <c r="N41" s="672"/>
      <c r="O41" s="670"/>
      <c r="P41" s="671"/>
      <c r="Q41" s="671">
        <f>'6c- ADIT BOY'!F28</f>
        <v>0</v>
      </c>
      <c r="R41" s="671"/>
      <c r="S41" s="671"/>
      <c r="T41" s="671"/>
      <c r="U41" s="671"/>
      <c r="V41" s="671"/>
      <c r="W41" s="672"/>
      <c r="X41" s="670"/>
      <c r="Y41" s="671"/>
      <c r="Z41" s="671">
        <f>'6c- ADIT BOY'!G28</f>
        <v>0</v>
      </c>
      <c r="AA41" s="671"/>
      <c r="AB41" s="671"/>
      <c r="AC41" s="671"/>
      <c r="AD41" s="671"/>
      <c r="AE41" s="671"/>
      <c r="AF41" s="672"/>
    </row>
    <row r="42" spans="1:33">
      <c r="A42" s="667">
        <f t="shared" ref="A42:A54" si="70">+A41+1</f>
        <v>30</v>
      </c>
      <c r="B42" s="657" t="s">
        <v>748</v>
      </c>
      <c r="C42" s="652" t="s">
        <v>298</v>
      </c>
      <c r="D42" s="668">
        <f t="shared" ref="D42:D53" si="71">+D10</f>
        <v>2022</v>
      </c>
      <c r="E42" s="669">
        <f>335/365</f>
        <v>0.9178082191780822</v>
      </c>
      <c r="F42" s="670">
        <f>'6b-ADIT Projection Proration'!G42</f>
        <v>0</v>
      </c>
      <c r="G42" s="671">
        <f t="shared" ref="G42:G53" si="72">$E42*F42</f>
        <v>0</v>
      </c>
      <c r="H42" s="671">
        <f t="shared" ref="H42:H53" si="73">+G42+H41</f>
        <v>0</v>
      </c>
      <c r="I42" s="673">
        <v>0</v>
      </c>
      <c r="J42" s="671">
        <f t="shared" ref="J42:J53" si="74">I42-F42</f>
        <v>0</v>
      </c>
      <c r="K42" s="674">
        <f t="shared" ref="K42:K44" si="75">IF(J42&gt;=0,+J42*0.5,0)</f>
        <v>0</v>
      </c>
      <c r="L42" s="671">
        <f t="shared" ref="L42:L44" si="76">IF(K42&gt;0,0,IF(I42&lt;0,0,(-(J42)*0.5)))</f>
        <v>0</v>
      </c>
      <c r="M42" s="671">
        <f t="shared" ref="M42:M46" si="77">IF(K42&gt;0,0,IF(I42&gt;0,0,(-(J42)*0.5)))</f>
        <v>0</v>
      </c>
      <c r="N42" s="675">
        <f t="shared" ref="N42:N44" si="78">+N41+G42+K42-L42-M42</f>
        <v>0</v>
      </c>
      <c r="O42" s="670">
        <f>'6b-ADIT Projection Proration'!I42</f>
        <v>0</v>
      </c>
      <c r="P42" s="671">
        <f t="shared" ref="P42:P53" si="79">$E42*O42</f>
        <v>0</v>
      </c>
      <c r="Q42" s="671">
        <f t="shared" ref="Q42:Q53" si="80">+P42+Q41</f>
        <v>0</v>
      </c>
      <c r="R42" s="673">
        <v>0</v>
      </c>
      <c r="S42" s="671">
        <f t="shared" ref="S42:S53" si="81">R42-O42</f>
        <v>0</v>
      </c>
      <c r="T42" s="674">
        <f>IF(S42&gt;=0,+S42*E42,0)</f>
        <v>0</v>
      </c>
      <c r="U42" s="671">
        <f t="shared" ref="U42:U53" si="82">IF(T42&gt;0,0,IF(R42&lt;0,0,(-(S42)*($E42))))</f>
        <v>0</v>
      </c>
      <c r="V42" s="671">
        <f t="shared" ref="V42:V53" si="83">IF(T42&gt;0,0,IF(R42&gt;0,0,(-(S42)*($E42))))</f>
        <v>0</v>
      </c>
      <c r="W42" s="675">
        <f t="shared" ref="W42:W44" si="84">+W41+P42+T42-U42-V42</f>
        <v>0</v>
      </c>
      <c r="X42" s="670">
        <f>'6b-ADIT Projection Proration'!K42</f>
        <v>0</v>
      </c>
      <c r="Y42" s="671">
        <f t="shared" ref="Y42:Y53" si="85">$E42*X42</f>
        <v>0</v>
      </c>
      <c r="Z42" s="671">
        <f t="shared" ref="Z42:Z53" si="86">+Y42+Z41</f>
        <v>0</v>
      </c>
      <c r="AA42" s="673">
        <v>0</v>
      </c>
      <c r="AB42" s="671">
        <f t="shared" ref="AB42:AB53" si="87">AA42-X42</f>
        <v>0</v>
      </c>
      <c r="AC42" s="674">
        <f>IF(AB42&gt;=0,+AB42*E42,0)</f>
        <v>0</v>
      </c>
      <c r="AD42" s="671">
        <f t="shared" ref="AD42:AD53" si="88">IF(AC42&gt;0,0,IF(AA42&lt;0,0,(-(AB42)*($E42))))</f>
        <v>0</v>
      </c>
      <c r="AE42" s="671">
        <f t="shared" ref="AE42:AE53" si="89">IF(AC42&gt;0,0,IF(AA42&gt;0,0,(-(AB42)*($E42))))</f>
        <v>0</v>
      </c>
      <c r="AF42" s="675">
        <f t="shared" ref="AF42:AF44" si="90">+AF41+Y42+AC42-AD42-AE42</f>
        <v>0</v>
      </c>
    </row>
    <row r="43" spans="1:33">
      <c r="A43" s="667">
        <f t="shared" si="70"/>
        <v>31</v>
      </c>
      <c r="B43" s="657" t="s">
        <v>748</v>
      </c>
      <c r="C43" s="652" t="s">
        <v>300</v>
      </c>
      <c r="D43" s="668">
        <f t="shared" si="71"/>
        <v>2022</v>
      </c>
      <c r="E43" s="669">
        <f>307/365</f>
        <v>0.84109589041095889</v>
      </c>
      <c r="F43" s="670">
        <f>'6b-ADIT Projection Proration'!G43</f>
        <v>0</v>
      </c>
      <c r="G43" s="671">
        <f t="shared" si="72"/>
        <v>0</v>
      </c>
      <c r="H43" s="671">
        <f t="shared" si="73"/>
        <v>0</v>
      </c>
      <c r="I43" s="673">
        <v>0</v>
      </c>
      <c r="J43" s="671">
        <f t="shared" si="74"/>
        <v>0</v>
      </c>
      <c r="K43" s="674">
        <f t="shared" si="75"/>
        <v>0</v>
      </c>
      <c r="L43" s="671">
        <f t="shared" si="76"/>
        <v>0</v>
      </c>
      <c r="M43" s="671">
        <f t="shared" si="77"/>
        <v>0</v>
      </c>
      <c r="N43" s="675">
        <f t="shared" si="78"/>
        <v>0</v>
      </c>
      <c r="O43" s="670">
        <f>'6b-ADIT Projection Proration'!I43</f>
        <v>0</v>
      </c>
      <c r="P43" s="671">
        <f t="shared" si="79"/>
        <v>0</v>
      </c>
      <c r="Q43" s="671">
        <f t="shared" si="80"/>
        <v>0</v>
      </c>
      <c r="R43" s="673">
        <v>0</v>
      </c>
      <c r="S43" s="671">
        <f t="shared" si="81"/>
        <v>0</v>
      </c>
      <c r="T43" s="674">
        <f t="shared" ref="T43:T53" si="91">IF(S43&gt;=0,+S43*E43,0)</f>
        <v>0</v>
      </c>
      <c r="U43" s="671">
        <f t="shared" si="82"/>
        <v>0</v>
      </c>
      <c r="V43" s="671">
        <f t="shared" si="83"/>
        <v>0</v>
      </c>
      <c r="W43" s="675">
        <f t="shared" si="84"/>
        <v>0</v>
      </c>
      <c r="X43" s="670">
        <f>'6b-ADIT Projection Proration'!K43</f>
        <v>0</v>
      </c>
      <c r="Y43" s="671">
        <f t="shared" si="85"/>
        <v>0</v>
      </c>
      <c r="Z43" s="671">
        <f t="shared" si="86"/>
        <v>0</v>
      </c>
      <c r="AA43" s="673">
        <v>0</v>
      </c>
      <c r="AB43" s="671">
        <f t="shared" si="87"/>
        <v>0</v>
      </c>
      <c r="AC43" s="674">
        <f t="shared" ref="AC43:AC53" si="92">IF(AB43&gt;=0,+AB43*E43,0)</f>
        <v>0</v>
      </c>
      <c r="AD43" s="671">
        <f t="shared" si="88"/>
        <v>0</v>
      </c>
      <c r="AE43" s="671">
        <f t="shared" si="89"/>
        <v>0</v>
      </c>
      <c r="AF43" s="675">
        <f t="shared" si="90"/>
        <v>0</v>
      </c>
    </row>
    <row r="44" spans="1:33">
      <c r="A44" s="667">
        <f t="shared" si="70"/>
        <v>32</v>
      </c>
      <c r="B44" s="657" t="s">
        <v>748</v>
      </c>
      <c r="C44" s="652" t="s">
        <v>301</v>
      </c>
      <c r="D44" s="668">
        <f t="shared" si="71"/>
        <v>2022</v>
      </c>
      <c r="E44" s="669">
        <f>276/365</f>
        <v>0.75616438356164384</v>
      </c>
      <c r="F44" s="670">
        <f>'6b-ADIT Projection Proration'!G44</f>
        <v>0</v>
      </c>
      <c r="G44" s="671">
        <f t="shared" si="72"/>
        <v>0</v>
      </c>
      <c r="H44" s="671">
        <f t="shared" si="73"/>
        <v>0</v>
      </c>
      <c r="I44" s="673">
        <v>0</v>
      </c>
      <c r="J44" s="671">
        <f t="shared" si="74"/>
        <v>0</v>
      </c>
      <c r="K44" s="674">
        <f t="shared" si="75"/>
        <v>0</v>
      </c>
      <c r="L44" s="671">
        <f t="shared" si="76"/>
        <v>0</v>
      </c>
      <c r="M44" s="671">
        <f t="shared" si="77"/>
        <v>0</v>
      </c>
      <c r="N44" s="675">
        <f t="shared" si="78"/>
        <v>0</v>
      </c>
      <c r="O44" s="670">
        <f>'6b-ADIT Projection Proration'!I44</f>
        <v>0</v>
      </c>
      <c r="P44" s="671">
        <f t="shared" si="79"/>
        <v>0</v>
      </c>
      <c r="Q44" s="671">
        <f t="shared" si="80"/>
        <v>0</v>
      </c>
      <c r="R44" s="673">
        <v>0</v>
      </c>
      <c r="S44" s="671">
        <f t="shared" si="81"/>
        <v>0</v>
      </c>
      <c r="T44" s="674">
        <f t="shared" si="91"/>
        <v>0</v>
      </c>
      <c r="U44" s="671">
        <f t="shared" si="82"/>
        <v>0</v>
      </c>
      <c r="V44" s="671">
        <f t="shared" si="83"/>
        <v>0</v>
      </c>
      <c r="W44" s="675">
        <f t="shared" si="84"/>
        <v>0</v>
      </c>
      <c r="X44" s="670">
        <f>'6b-ADIT Projection Proration'!K44</f>
        <v>0</v>
      </c>
      <c r="Y44" s="671">
        <f t="shared" si="85"/>
        <v>0</v>
      </c>
      <c r="Z44" s="671">
        <f t="shared" si="86"/>
        <v>0</v>
      </c>
      <c r="AA44" s="673">
        <v>0</v>
      </c>
      <c r="AB44" s="671">
        <f t="shared" si="87"/>
        <v>0</v>
      </c>
      <c r="AC44" s="674">
        <f t="shared" si="92"/>
        <v>0</v>
      </c>
      <c r="AD44" s="671">
        <f t="shared" si="88"/>
        <v>0</v>
      </c>
      <c r="AE44" s="671">
        <f t="shared" si="89"/>
        <v>0</v>
      </c>
      <c r="AF44" s="675">
        <f t="shared" si="90"/>
        <v>0</v>
      </c>
    </row>
    <row r="45" spans="1:33">
      <c r="A45" s="667">
        <f t="shared" si="70"/>
        <v>33</v>
      </c>
      <c r="B45" s="657" t="s">
        <v>748</v>
      </c>
      <c r="C45" s="652" t="s">
        <v>302</v>
      </c>
      <c r="D45" s="668">
        <f t="shared" si="71"/>
        <v>2022</v>
      </c>
      <c r="E45" s="669">
        <f>246/365</f>
        <v>0.67397260273972603</v>
      </c>
      <c r="F45" s="670">
        <f>'6b-ADIT Projection Proration'!G45</f>
        <v>0</v>
      </c>
      <c r="G45" s="671">
        <f t="shared" si="72"/>
        <v>0</v>
      </c>
      <c r="H45" s="671">
        <f t="shared" si="73"/>
        <v>0</v>
      </c>
      <c r="I45" s="673">
        <v>0</v>
      </c>
      <c r="J45" s="671">
        <f t="shared" si="74"/>
        <v>0</v>
      </c>
      <c r="K45" s="674">
        <f>IF(J45&gt;=0,+J45*0.5,0)</f>
        <v>0</v>
      </c>
      <c r="L45" s="671">
        <f>IF(K45&gt;0,0,IF(I45&lt;0,0,(-(J45)*0.5)))</f>
        <v>0</v>
      </c>
      <c r="M45" s="671">
        <f t="shared" si="77"/>
        <v>0</v>
      </c>
      <c r="N45" s="675">
        <f>+N44+G45+K45-L45-M45</f>
        <v>0</v>
      </c>
      <c r="O45" s="670">
        <f>'6b-ADIT Projection Proration'!I45</f>
        <v>0</v>
      </c>
      <c r="P45" s="671">
        <f t="shared" si="79"/>
        <v>0</v>
      </c>
      <c r="Q45" s="671">
        <f t="shared" si="80"/>
        <v>0</v>
      </c>
      <c r="R45" s="673">
        <v>0</v>
      </c>
      <c r="S45" s="671">
        <f t="shared" si="81"/>
        <v>0</v>
      </c>
      <c r="T45" s="674">
        <f t="shared" si="91"/>
        <v>0</v>
      </c>
      <c r="U45" s="671">
        <f t="shared" si="82"/>
        <v>0</v>
      </c>
      <c r="V45" s="671">
        <f t="shared" si="83"/>
        <v>0</v>
      </c>
      <c r="W45" s="675">
        <f>+W44+P45+T45-U45-V45</f>
        <v>0</v>
      </c>
      <c r="X45" s="670">
        <f>'6b-ADIT Projection Proration'!K45</f>
        <v>0</v>
      </c>
      <c r="Y45" s="671">
        <f t="shared" si="85"/>
        <v>0</v>
      </c>
      <c r="Z45" s="671">
        <f t="shared" si="86"/>
        <v>0</v>
      </c>
      <c r="AA45" s="673">
        <v>0</v>
      </c>
      <c r="AB45" s="671">
        <f t="shared" si="87"/>
        <v>0</v>
      </c>
      <c r="AC45" s="674">
        <f t="shared" si="92"/>
        <v>0</v>
      </c>
      <c r="AD45" s="671">
        <f t="shared" si="88"/>
        <v>0</v>
      </c>
      <c r="AE45" s="671">
        <f t="shared" si="89"/>
        <v>0</v>
      </c>
      <c r="AF45" s="675">
        <f>+AF44+Y45+AC45-AD45-AE45</f>
        <v>0</v>
      </c>
    </row>
    <row r="46" spans="1:33">
      <c r="A46" s="667">
        <f t="shared" si="70"/>
        <v>34</v>
      </c>
      <c r="B46" s="657" t="s">
        <v>748</v>
      </c>
      <c r="C46" s="652" t="s">
        <v>303</v>
      </c>
      <c r="D46" s="668">
        <f t="shared" si="71"/>
        <v>2022</v>
      </c>
      <c r="E46" s="669">
        <f>215/365</f>
        <v>0.58904109589041098</v>
      </c>
      <c r="F46" s="670">
        <f>'6b-ADIT Projection Proration'!G46</f>
        <v>0</v>
      </c>
      <c r="G46" s="671">
        <f t="shared" si="72"/>
        <v>0</v>
      </c>
      <c r="H46" s="671">
        <f t="shared" si="73"/>
        <v>0</v>
      </c>
      <c r="I46" s="673">
        <v>0</v>
      </c>
      <c r="J46" s="671">
        <f t="shared" si="74"/>
        <v>0</v>
      </c>
      <c r="K46" s="674">
        <f t="shared" ref="K46:K53" si="93">IF(J46&gt;=0,+J46*0.5,0)</f>
        <v>0</v>
      </c>
      <c r="L46" s="671">
        <f t="shared" ref="L46:L53" si="94">IF(K46&gt;0,0,IF(I46&lt;0,0,(-(J46)*0.5)))</f>
        <v>0</v>
      </c>
      <c r="M46" s="671">
        <f t="shared" si="77"/>
        <v>0</v>
      </c>
      <c r="N46" s="675">
        <f t="shared" ref="N46:N53" si="95">+N45+G46+K46-L46-M46</f>
        <v>0</v>
      </c>
      <c r="O46" s="670">
        <f>'6b-ADIT Projection Proration'!I46</f>
        <v>0</v>
      </c>
      <c r="P46" s="671">
        <f t="shared" si="79"/>
        <v>0</v>
      </c>
      <c r="Q46" s="671">
        <f t="shared" si="80"/>
        <v>0</v>
      </c>
      <c r="R46" s="673">
        <v>0</v>
      </c>
      <c r="S46" s="671">
        <f t="shared" si="81"/>
        <v>0</v>
      </c>
      <c r="T46" s="674">
        <f t="shared" si="91"/>
        <v>0</v>
      </c>
      <c r="U46" s="671">
        <f t="shared" si="82"/>
        <v>0</v>
      </c>
      <c r="V46" s="671">
        <f t="shared" si="83"/>
        <v>0</v>
      </c>
      <c r="W46" s="675">
        <f t="shared" ref="W46:W53" si="96">+W45+P46+T46-U46-V46</f>
        <v>0</v>
      </c>
      <c r="X46" s="670">
        <f>'6b-ADIT Projection Proration'!K46</f>
        <v>0</v>
      </c>
      <c r="Y46" s="671">
        <f t="shared" si="85"/>
        <v>0</v>
      </c>
      <c r="Z46" s="671">
        <f t="shared" si="86"/>
        <v>0</v>
      </c>
      <c r="AA46" s="673">
        <v>0</v>
      </c>
      <c r="AB46" s="671">
        <f t="shared" si="87"/>
        <v>0</v>
      </c>
      <c r="AC46" s="674">
        <f t="shared" si="92"/>
        <v>0</v>
      </c>
      <c r="AD46" s="671">
        <f t="shared" si="88"/>
        <v>0</v>
      </c>
      <c r="AE46" s="671">
        <f t="shared" si="89"/>
        <v>0</v>
      </c>
      <c r="AF46" s="675">
        <f t="shared" ref="AF46:AF53" si="97">+AF45+Y46+AC46-AD46-AE46</f>
        <v>0</v>
      </c>
    </row>
    <row r="47" spans="1:33">
      <c r="A47" s="667">
        <f t="shared" si="70"/>
        <v>35</v>
      </c>
      <c r="B47" s="657" t="s">
        <v>748</v>
      </c>
      <c r="C47" s="652" t="s">
        <v>469</v>
      </c>
      <c r="D47" s="668">
        <f t="shared" si="71"/>
        <v>2022</v>
      </c>
      <c r="E47" s="669">
        <f>185/365</f>
        <v>0.50684931506849318</v>
      </c>
      <c r="F47" s="670">
        <f>'6b-ADIT Projection Proration'!G47</f>
        <v>0</v>
      </c>
      <c r="G47" s="671">
        <f t="shared" si="72"/>
        <v>0</v>
      </c>
      <c r="H47" s="671">
        <f t="shared" si="73"/>
        <v>0</v>
      </c>
      <c r="I47" s="673">
        <v>0</v>
      </c>
      <c r="J47" s="671">
        <f t="shared" si="74"/>
        <v>0</v>
      </c>
      <c r="K47" s="674">
        <f t="shared" si="93"/>
        <v>0</v>
      </c>
      <c r="L47" s="671">
        <f t="shared" si="94"/>
        <v>0</v>
      </c>
      <c r="M47" s="671">
        <f>IF(K47&gt;0,0,IF(I47&gt;0,0,(-(J47)*0.5)))</f>
        <v>0</v>
      </c>
      <c r="N47" s="675">
        <f t="shared" si="95"/>
        <v>0</v>
      </c>
      <c r="O47" s="670">
        <f>'6b-ADIT Projection Proration'!I47</f>
        <v>0</v>
      </c>
      <c r="P47" s="671">
        <f t="shared" si="79"/>
        <v>0</v>
      </c>
      <c r="Q47" s="671">
        <f t="shared" si="80"/>
        <v>0</v>
      </c>
      <c r="R47" s="673">
        <v>0</v>
      </c>
      <c r="S47" s="671">
        <f t="shared" si="81"/>
        <v>0</v>
      </c>
      <c r="T47" s="674">
        <f t="shared" si="91"/>
        <v>0</v>
      </c>
      <c r="U47" s="671">
        <f t="shared" si="82"/>
        <v>0</v>
      </c>
      <c r="V47" s="671">
        <f t="shared" si="83"/>
        <v>0</v>
      </c>
      <c r="W47" s="675">
        <f t="shared" si="96"/>
        <v>0</v>
      </c>
      <c r="X47" s="670">
        <f>'6b-ADIT Projection Proration'!K47</f>
        <v>0</v>
      </c>
      <c r="Y47" s="671">
        <f t="shared" si="85"/>
        <v>0</v>
      </c>
      <c r="Z47" s="671">
        <f t="shared" si="86"/>
        <v>0</v>
      </c>
      <c r="AA47" s="673">
        <v>0</v>
      </c>
      <c r="AB47" s="671">
        <f t="shared" si="87"/>
        <v>0</v>
      </c>
      <c r="AC47" s="674">
        <f t="shared" si="92"/>
        <v>0</v>
      </c>
      <c r="AD47" s="671">
        <f t="shared" si="88"/>
        <v>0</v>
      </c>
      <c r="AE47" s="671">
        <f t="shared" si="89"/>
        <v>0</v>
      </c>
      <c r="AF47" s="675">
        <f t="shared" si="97"/>
        <v>0</v>
      </c>
    </row>
    <row r="48" spans="1:33">
      <c r="A48" s="667">
        <f t="shared" si="70"/>
        <v>36</v>
      </c>
      <c r="B48" s="657" t="s">
        <v>748</v>
      </c>
      <c r="C48" s="652" t="s">
        <v>305</v>
      </c>
      <c r="D48" s="668">
        <f t="shared" si="71"/>
        <v>2022</v>
      </c>
      <c r="E48" s="669">
        <f>154/365</f>
        <v>0.42191780821917807</v>
      </c>
      <c r="F48" s="670">
        <f>'6b-ADIT Projection Proration'!G48</f>
        <v>0</v>
      </c>
      <c r="G48" s="671">
        <f t="shared" si="72"/>
        <v>0</v>
      </c>
      <c r="H48" s="671">
        <f t="shared" si="73"/>
        <v>0</v>
      </c>
      <c r="I48" s="673">
        <v>0</v>
      </c>
      <c r="J48" s="671">
        <f t="shared" si="74"/>
        <v>0</v>
      </c>
      <c r="K48" s="674">
        <f t="shared" si="93"/>
        <v>0</v>
      </c>
      <c r="L48" s="671">
        <f t="shared" si="94"/>
        <v>0</v>
      </c>
      <c r="M48" s="671">
        <f t="shared" ref="M48:M53" si="98">IF(K48&gt;0,0,IF(I48&gt;0,0,(-(J48)*0.5)))</f>
        <v>0</v>
      </c>
      <c r="N48" s="675">
        <f t="shared" si="95"/>
        <v>0</v>
      </c>
      <c r="O48" s="670">
        <f>'6b-ADIT Projection Proration'!I48</f>
        <v>0</v>
      </c>
      <c r="P48" s="671">
        <f t="shared" si="79"/>
        <v>0</v>
      </c>
      <c r="Q48" s="671">
        <f t="shared" si="80"/>
        <v>0</v>
      </c>
      <c r="R48" s="673">
        <v>0</v>
      </c>
      <c r="S48" s="671">
        <f t="shared" si="81"/>
        <v>0</v>
      </c>
      <c r="T48" s="674">
        <f t="shared" si="91"/>
        <v>0</v>
      </c>
      <c r="U48" s="671">
        <f t="shared" si="82"/>
        <v>0</v>
      </c>
      <c r="V48" s="671">
        <f t="shared" si="83"/>
        <v>0</v>
      </c>
      <c r="W48" s="675">
        <f t="shared" si="96"/>
        <v>0</v>
      </c>
      <c r="X48" s="670">
        <f>'6b-ADIT Projection Proration'!K48</f>
        <v>0</v>
      </c>
      <c r="Y48" s="671">
        <f t="shared" si="85"/>
        <v>0</v>
      </c>
      <c r="Z48" s="671">
        <f t="shared" si="86"/>
        <v>0</v>
      </c>
      <c r="AA48" s="673">
        <v>0</v>
      </c>
      <c r="AB48" s="671">
        <f t="shared" si="87"/>
        <v>0</v>
      </c>
      <c r="AC48" s="674">
        <f t="shared" si="92"/>
        <v>0</v>
      </c>
      <c r="AD48" s="671">
        <f t="shared" si="88"/>
        <v>0</v>
      </c>
      <c r="AE48" s="671">
        <f t="shared" si="89"/>
        <v>0</v>
      </c>
      <c r="AF48" s="675">
        <f t="shared" si="97"/>
        <v>0</v>
      </c>
    </row>
    <row r="49" spans="1:32">
      <c r="A49" s="667">
        <f t="shared" si="70"/>
        <v>37</v>
      </c>
      <c r="B49" s="657" t="s">
        <v>748</v>
      </c>
      <c r="C49" s="652" t="s">
        <v>306</v>
      </c>
      <c r="D49" s="668">
        <f t="shared" si="71"/>
        <v>2022</v>
      </c>
      <c r="E49" s="669">
        <f>123/365</f>
        <v>0.33698630136986302</v>
      </c>
      <c r="F49" s="670">
        <f>'6b-ADIT Projection Proration'!G49</f>
        <v>0</v>
      </c>
      <c r="G49" s="671">
        <f t="shared" si="72"/>
        <v>0</v>
      </c>
      <c r="H49" s="671">
        <f t="shared" si="73"/>
        <v>0</v>
      </c>
      <c r="I49" s="673">
        <v>0</v>
      </c>
      <c r="J49" s="671">
        <f t="shared" si="74"/>
        <v>0</v>
      </c>
      <c r="K49" s="674">
        <f t="shared" si="93"/>
        <v>0</v>
      </c>
      <c r="L49" s="671">
        <f t="shared" si="94"/>
        <v>0</v>
      </c>
      <c r="M49" s="671">
        <f t="shared" si="98"/>
        <v>0</v>
      </c>
      <c r="N49" s="675">
        <f t="shared" si="95"/>
        <v>0</v>
      </c>
      <c r="O49" s="670">
        <f>'6b-ADIT Projection Proration'!I49</f>
        <v>0</v>
      </c>
      <c r="P49" s="671">
        <f t="shared" si="79"/>
        <v>0</v>
      </c>
      <c r="Q49" s="671">
        <f t="shared" si="80"/>
        <v>0</v>
      </c>
      <c r="R49" s="673">
        <v>0</v>
      </c>
      <c r="S49" s="671">
        <f t="shared" si="81"/>
        <v>0</v>
      </c>
      <c r="T49" s="674">
        <f t="shared" si="91"/>
        <v>0</v>
      </c>
      <c r="U49" s="671">
        <f t="shared" si="82"/>
        <v>0</v>
      </c>
      <c r="V49" s="671">
        <f t="shared" si="83"/>
        <v>0</v>
      </c>
      <c r="W49" s="675">
        <f t="shared" si="96"/>
        <v>0</v>
      </c>
      <c r="X49" s="670">
        <f>'6b-ADIT Projection Proration'!K49</f>
        <v>0</v>
      </c>
      <c r="Y49" s="671">
        <f t="shared" si="85"/>
        <v>0</v>
      </c>
      <c r="Z49" s="671">
        <f t="shared" si="86"/>
        <v>0</v>
      </c>
      <c r="AA49" s="673">
        <v>0</v>
      </c>
      <c r="AB49" s="671">
        <f t="shared" si="87"/>
        <v>0</v>
      </c>
      <c r="AC49" s="674">
        <f t="shared" si="92"/>
        <v>0</v>
      </c>
      <c r="AD49" s="671">
        <f t="shared" si="88"/>
        <v>0</v>
      </c>
      <c r="AE49" s="671">
        <f t="shared" si="89"/>
        <v>0</v>
      </c>
      <c r="AF49" s="675">
        <f t="shared" si="97"/>
        <v>0</v>
      </c>
    </row>
    <row r="50" spans="1:32">
      <c r="A50" s="667">
        <f t="shared" si="70"/>
        <v>38</v>
      </c>
      <c r="B50" s="657" t="s">
        <v>748</v>
      </c>
      <c r="C50" s="652" t="s">
        <v>307</v>
      </c>
      <c r="D50" s="668">
        <f t="shared" si="71"/>
        <v>2022</v>
      </c>
      <c r="E50" s="669">
        <f>93/365</f>
        <v>0.25479452054794521</v>
      </c>
      <c r="F50" s="670">
        <f>'6b-ADIT Projection Proration'!G50</f>
        <v>0</v>
      </c>
      <c r="G50" s="671">
        <f t="shared" si="72"/>
        <v>0</v>
      </c>
      <c r="H50" s="671">
        <f t="shared" si="73"/>
        <v>0</v>
      </c>
      <c r="I50" s="673">
        <v>0</v>
      </c>
      <c r="J50" s="671">
        <f t="shared" si="74"/>
        <v>0</v>
      </c>
      <c r="K50" s="674">
        <f t="shared" si="93"/>
        <v>0</v>
      </c>
      <c r="L50" s="671">
        <f t="shared" si="94"/>
        <v>0</v>
      </c>
      <c r="M50" s="671">
        <f t="shared" si="98"/>
        <v>0</v>
      </c>
      <c r="N50" s="675">
        <f t="shared" si="95"/>
        <v>0</v>
      </c>
      <c r="O50" s="670">
        <f>'6b-ADIT Projection Proration'!I50</f>
        <v>0</v>
      </c>
      <c r="P50" s="671">
        <f t="shared" si="79"/>
        <v>0</v>
      </c>
      <c r="Q50" s="671">
        <f t="shared" si="80"/>
        <v>0</v>
      </c>
      <c r="R50" s="673">
        <v>0</v>
      </c>
      <c r="S50" s="671">
        <f t="shared" si="81"/>
        <v>0</v>
      </c>
      <c r="T50" s="674">
        <f t="shared" si="91"/>
        <v>0</v>
      </c>
      <c r="U50" s="671">
        <f t="shared" si="82"/>
        <v>0</v>
      </c>
      <c r="V50" s="671">
        <f t="shared" si="83"/>
        <v>0</v>
      </c>
      <c r="W50" s="675">
        <f t="shared" si="96"/>
        <v>0</v>
      </c>
      <c r="X50" s="670">
        <f>'6b-ADIT Projection Proration'!K50</f>
        <v>0</v>
      </c>
      <c r="Y50" s="671">
        <f t="shared" si="85"/>
        <v>0</v>
      </c>
      <c r="Z50" s="671">
        <f t="shared" si="86"/>
        <v>0</v>
      </c>
      <c r="AA50" s="673">
        <v>0</v>
      </c>
      <c r="AB50" s="671">
        <f t="shared" si="87"/>
        <v>0</v>
      </c>
      <c r="AC50" s="674">
        <f t="shared" si="92"/>
        <v>0</v>
      </c>
      <c r="AD50" s="671">
        <f t="shared" si="88"/>
        <v>0</v>
      </c>
      <c r="AE50" s="671">
        <f t="shared" si="89"/>
        <v>0</v>
      </c>
      <c r="AF50" s="675">
        <f t="shared" si="97"/>
        <v>0</v>
      </c>
    </row>
    <row r="51" spans="1:32">
      <c r="A51" s="667">
        <f t="shared" si="70"/>
        <v>39</v>
      </c>
      <c r="B51" s="657" t="s">
        <v>748</v>
      </c>
      <c r="C51" s="652" t="s">
        <v>314</v>
      </c>
      <c r="D51" s="668">
        <f t="shared" si="71"/>
        <v>2022</v>
      </c>
      <c r="E51" s="669">
        <f>62/365</f>
        <v>0.16986301369863013</v>
      </c>
      <c r="F51" s="670">
        <f>'6b-ADIT Projection Proration'!G51</f>
        <v>0</v>
      </c>
      <c r="G51" s="671">
        <f t="shared" si="72"/>
        <v>0</v>
      </c>
      <c r="H51" s="671">
        <f t="shared" si="73"/>
        <v>0</v>
      </c>
      <c r="I51" s="673">
        <v>0</v>
      </c>
      <c r="J51" s="671">
        <f t="shared" si="74"/>
        <v>0</v>
      </c>
      <c r="K51" s="674">
        <f t="shared" si="93"/>
        <v>0</v>
      </c>
      <c r="L51" s="671">
        <f t="shared" si="94"/>
        <v>0</v>
      </c>
      <c r="M51" s="671">
        <f t="shared" si="98"/>
        <v>0</v>
      </c>
      <c r="N51" s="675">
        <f t="shared" si="95"/>
        <v>0</v>
      </c>
      <c r="O51" s="670">
        <f>'6b-ADIT Projection Proration'!I51</f>
        <v>0</v>
      </c>
      <c r="P51" s="671">
        <f t="shared" si="79"/>
        <v>0</v>
      </c>
      <c r="Q51" s="671">
        <f t="shared" si="80"/>
        <v>0</v>
      </c>
      <c r="R51" s="673">
        <v>0</v>
      </c>
      <c r="S51" s="671">
        <f t="shared" si="81"/>
        <v>0</v>
      </c>
      <c r="T51" s="674">
        <f t="shared" si="91"/>
        <v>0</v>
      </c>
      <c r="U51" s="671">
        <f t="shared" si="82"/>
        <v>0</v>
      </c>
      <c r="V51" s="671">
        <f t="shared" si="83"/>
        <v>0</v>
      </c>
      <c r="W51" s="675">
        <f t="shared" si="96"/>
        <v>0</v>
      </c>
      <c r="X51" s="670">
        <f>'6b-ADIT Projection Proration'!K51</f>
        <v>0</v>
      </c>
      <c r="Y51" s="671">
        <f t="shared" si="85"/>
        <v>0</v>
      </c>
      <c r="Z51" s="671">
        <f t="shared" si="86"/>
        <v>0</v>
      </c>
      <c r="AA51" s="673">
        <v>0</v>
      </c>
      <c r="AB51" s="671">
        <f t="shared" si="87"/>
        <v>0</v>
      </c>
      <c r="AC51" s="674">
        <f t="shared" si="92"/>
        <v>0</v>
      </c>
      <c r="AD51" s="671">
        <f t="shared" si="88"/>
        <v>0</v>
      </c>
      <c r="AE51" s="671">
        <f t="shared" si="89"/>
        <v>0</v>
      </c>
      <c r="AF51" s="675">
        <f t="shared" si="97"/>
        <v>0</v>
      </c>
    </row>
    <row r="52" spans="1:32">
      <c r="A52" s="667">
        <f t="shared" si="70"/>
        <v>40</v>
      </c>
      <c r="B52" s="657" t="s">
        <v>748</v>
      </c>
      <c r="C52" s="652" t="s">
        <v>309</v>
      </c>
      <c r="D52" s="668">
        <f t="shared" si="71"/>
        <v>2022</v>
      </c>
      <c r="E52" s="669">
        <f>32/365</f>
        <v>8.7671232876712329E-2</v>
      </c>
      <c r="F52" s="670">
        <f>'6b-ADIT Projection Proration'!G52</f>
        <v>0</v>
      </c>
      <c r="G52" s="671">
        <f t="shared" si="72"/>
        <v>0</v>
      </c>
      <c r="H52" s="671">
        <f t="shared" si="73"/>
        <v>0</v>
      </c>
      <c r="I52" s="673">
        <v>0</v>
      </c>
      <c r="J52" s="671">
        <f t="shared" si="74"/>
        <v>0</v>
      </c>
      <c r="K52" s="674">
        <f t="shared" si="93"/>
        <v>0</v>
      </c>
      <c r="L52" s="671">
        <f t="shared" si="94"/>
        <v>0</v>
      </c>
      <c r="M52" s="671">
        <f t="shared" si="98"/>
        <v>0</v>
      </c>
      <c r="N52" s="675">
        <f t="shared" si="95"/>
        <v>0</v>
      </c>
      <c r="O52" s="670">
        <f>'6b-ADIT Projection Proration'!I52</f>
        <v>0</v>
      </c>
      <c r="P52" s="671">
        <f t="shared" si="79"/>
        <v>0</v>
      </c>
      <c r="Q52" s="671">
        <f t="shared" si="80"/>
        <v>0</v>
      </c>
      <c r="R52" s="673">
        <v>0</v>
      </c>
      <c r="S52" s="671">
        <f t="shared" si="81"/>
        <v>0</v>
      </c>
      <c r="T52" s="674">
        <f t="shared" si="91"/>
        <v>0</v>
      </c>
      <c r="U52" s="671">
        <f t="shared" si="82"/>
        <v>0</v>
      </c>
      <c r="V52" s="671">
        <f t="shared" si="83"/>
        <v>0</v>
      </c>
      <c r="W52" s="675">
        <f t="shared" si="96"/>
        <v>0</v>
      </c>
      <c r="X52" s="670">
        <f>'6b-ADIT Projection Proration'!K52</f>
        <v>0</v>
      </c>
      <c r="Y52" s="671">
        <f t="shared" si="85"/>
        <v>0</v>
      </c>
      <c r="Z52" s="671">
        <f t="shared" si="86"/>
        <v>0</v>
      </c>
      <c r="AA52" s="673">
        <v>0</v>
      </c>
      <c r="AB52" s="671">
        <f t="shared" si="87"/>
        <v>0</v>
      </c>
      <c r="AC52" s="674">
        <f t="shared" si="92"/>
        <v>0</v>
      </c>
      <c r="AD52" s="671">
        <f t="shared" si="88"/>
        <v>0</v>
      </c>
      <c r="AE52" s="671">
        <f t="shared" si="89"/>
        <v>0</v>
      </c>
      <c r="AF52" s="675">
        <f t="shared" si="97"/>
        <v>0</v>
      </c>
    </row>
    <row r="53" spans="1:32">
      <c r="A53" s="667">
        <f t="shared" si="70"/>
        <v>41</v>
      </c>
      <c r="B53" s="657" t="s">
        <v>748</v>
      </c>
      <c r="C53" s="652" t="s">
        <v>296</v>
      </c>
      <c r="D53" s="668">
        <f t="shared" si="71"/>
        <v>2022</v>
      </c>
      <c r="E53" s="669">
        <f>1/365</f>
        <v>2.7397260273972603E-3</v>
      </c>
      <c r="F53" s="676">
        <f>'6b-ADIT Projection Proration'!G53</f>
        <v>0</v>
      </c>
      <c r="G53" s="677">
        <f t="shared" si="72"/>
        <v>0</v>
      </c>
      <c r="H53" s="677">
        <f t="shared" si="73"/>
        <v>0</v>
      </c>
      <c r="I53" s="673">
        <v>0</v>
      </c>
      <c r="J53" s="671">
        <f t="shared" si="74"/>
        <v>0</v>
      </c>
      <c r="K53" s="674">
        <f t="shared" si="93"/>
        <v>0</v>
      </c>
      <c r="L53" s="671">
        <f t="shared" si="94"/>
        <v>0</v>
      </c>
      <c r="M53" s="671">
        <f t="shared" si="98"/>
        <v>0</v>
      </c>
      <c r="N53" s="675">
        <f t="shared" si="95"/>
        <v>0</v>
      </c>
      <c r="O53" s="676">
        <f>'6b-ADIT Projection Proration'!I53</f>
        <v>0</v>
      </c>
      <c r="P53" s="677">
        <f t="shared" si="79"/>
        <v>0</v>
      </c>
      <c r="Q53" s="677">
        <f t="shared" si="80"/>
        <v>0</v>
      </c>
      <c r="R53" s="678">
        <v>0</v>
      </c>
      <c r="S53" s="671">
        <f t="shared" si="81"/>
        <v>0</v>
      </c>
      <c r="T53" s="674">
        <f t="shared" si="91"/>
        <v>0</v>
      </c>
      <c r="U53" s="671">
        <f t="shared" si="82"/>
        <v>0</v>
      </c>
      <c r="V53" s="671">
        <f t="shared" si="83"/>
        <v>0</v>
      </c>
      <c r="W53" s="675">
        <f t="shared" si="96"/>
        <v>0</v>
      </c>
      <c r="X53" s="670">
        <f>'6b-ADIT Projection Proration'!K53</f>
        <v>0</v>
      </c>
      <c r="Y53" s="671">
        <f t="shared" si="85"/>
        <v>0</v>
      </c>
      <c r="Z53" s="671">
        <f t="shared" si="86"/>
        <v>0</v>
      </c>
      <c r="AA53" s="673">
        <v>0</v>
      </c>
      <c r="AB53" s="671">
        <f t="shared" si="87"/>
        <v>0</v>
      </c>
      <c r="AC53" s="674">
        <f t="shared" si="92"/>
        <v>0</v>
      </c>
      <c r="AD53" s="671">
        <f t="shared" si="88"/>
        <v>0</v>
      </c>
      <c r="AE53" s="671">
        <f t="shared" si="89"/>
        <v>0</v>
      </c>
      <c r="AF53" s="675">
        <f t="shared" si="97"/>
        <v>0</v>
      </c>
    </row>
    <row r="54" spans="1:32" ht="14.4" thickBot="1">
      <c r="A54" s="667">
        <f t="shared" si="70"/>
        <v>42</v>
      </c>
      <c r="B54" s="657" t="s">
        <v>755</v>
      </c>
      <c r="F54" s="682">
        <f t="shared" ref="F54:M54" si="99">SUM(F41:F53)</f>
        <v>0</v>
      </c>
      <c r="G54" s="683">
        <f t="shared" si="99"/>
        <v>0</v>
      </c>
      <c r="H54" s="683"/>
      <c r="I54" s="684">
        <f t="shared" si="99"/>
        <v>0</v>
      </c>
      <c r="J54" s="684">
        <f t="shared" si="99"/>
        <v>0</v>
      </c>
      <c r="K54" s="684">
        <f t="shared" si="99"/>
        <v>0</v>
      </c>
      <c r="L54" s="684">
        <f t="shared" si="99"/>
        <v>0</v>
      </c>
      <c r="M54" s="684">
        <f t="shared" si="99"/>
        <v>0</v>
      </c>
      <c r="N54" s="685"/>
      <c r="O54" s="682">
        <f t="shared" ref="O54:P54" si="100">SUM(O41:O53)</f>
        <v>0</v>
      </c>
      <c r="P54" s="683">
        <f t="shared" si="100"/>
        <v>0</v>
      </c>
      <c r="Q54" s="683"/>
      <c r="R54" s="683">
        <f t="shared" ref="R54:V54" si="101">SUM(R41:R53)</f>
        <v>0</v>
      </c>
      <c r="S54" s="684">
        <f t="shared" si="101"/>
        <v>0</v>
      </c>
      <c r="T54" s="684">
        <f t="shared" si="101"/>
        <v>0</v>
      </c>
      <c r="U54" s="684">
        <f t="shared" si="101"/>
        <v>0</v>
      </c>
      <c r="V54" s="684">
        <f t="shared" si="101"/>
        <v>0</v>
      </c>
      <c r="W54" s="685"/>
      <c r="X54" s="686">
        <f t="shared" ref="X54:Y54" si="102">SUM(X41:X53)</f>
        <v>0</v>
      </c>
      <c r="Y54" s="684">
        <f t="shared" si="102"/>
        <v>0</v>
      </c>
      <c r="Z54" s="684"/>
      <c r="AA54" s="684">
        <f t="shared" ref="AA54:AE54" si="103">SUM(AA41:AA53)</f>
        <v>0</v>
      </c>
      <c r="AB54" s="684">
        <f t="shared" si="103"/>
        <v>0</v>
      </c>
      <c r="AC54" s="684">
        <f t="shared" si="103"/>
        <v>0</v>
      </c>
      <c r="AD54" s="684">
        <f t="shared" si="103"/>
        <v>0</v>
      </c>
      <c r="AE54" s="684">
        <f t="shared" si="103"/>
        <v>0</v>
      </c>
      <c r="AF54" s="685"/>
    </row>
    <row r="55" spans="1:32">
      <c r="B55" s="652"/>
      <c r="F55" s="671"/>
      <c r="G55" s="671"/>
      <c r="H55" s="671"/>
      <c r="I55" s="671"/>
      <c r="J55" s="671"/>
      <c r="K55" s="671"/>
      <c r="L55" s="671"/>
      <c r="M55" s="671"/>
      <c r="N55" s="671"/>
      <c r="O55" s="679"/>
      <c r="P55" s="687"/>
      <c r="Q55" s="679"/>
      <c r="R55" s="687"/>
      <c r="S55" s="687"/>
      <c r="T55" s="687"/>
      <c r="U55" s="687"/>
      <c r="V55" s="687"/>
      <c r="W55" s="687"/>
      <c r="X55" s="679"/>
      <c r="Y55" s="687"/>
    </row>
    <row r="56" spans="1:32">
      <c r="B56" s="652"/>
    </row>
    <row r="57" spans="1:32">
      <c r="A57" s="688" t="s">
        <v>246</v>
      </c>
      <c r="B57" s="652" t="s">
        <v>756</v>
      </c>
    </row>
    <row r="58" spans="1:32">
      <c r="A58" s="688" t="s">
        <v>248</v>
      </c>
      <c r="B58" s="652" t="s">
        <v>757</v>
      </c>
      <c r="D58" s="689"/>
      <c r="E58" s="689"/>
      <c r="F58" s="689"/>
      <c r="G58" s="689"/>
      <c r="H58" s="689"/>
      <c r="I58" s="689"/>
      <c r="J58" s="689"/>
      <c r="K58" s="689"/>
      <c r="L58" s="689"/>
      <c r="M58" s="689"/>
      <c r="N58" s="689"/>
    </row>
    <row r="59" spans="1:32">
      <c r="A59" s="690" t="s">
        <v>186</v>
      </c>
      <c r="B59" s="652" t="s">
        <v>758</v>
      </c>
      <c r="D59" s="689"/>
      <c r="E59" s="689"/>
      <c r="F59" s="689"/>
      <c r="G59" s="689"/>
      <c r="H59" s="689"/>
      <c r="I59" s="689"/>
      <c r="J59" s="689"/>
      <c r="K59" s="689"/>
      <c r="L59" s="689"/>
      <c r="M59" s="689"/>
      <c r="N59" s="689"/>
    </row>
    <row r="60" spans="1:32">
      <c r="A60" s="690" t="s">
        <v>188</v>
      </c>
      <c r="B60" s="652" t="s">
        <v>825</v>
      </c>
      <c r="D60" s="689"/>
      <c r="E60" s="689"/>
      <c r="F60" s="689"/>
      <c r="G60" s="689"/>
      <c r="H60" s="689"/>
      <c r="I60" s="689"/>
      <c r="J60" s="689"/>
      <c r="K60" s="689"/>
      <c r="L60" s="689"/>
      <c r="M60" s="689"/>
      <c r="N60" s="689"/>
    </row>
    <row r="61" spans="1:32">
      <c r="A61" s="690" t="s">
        <v>190</v>
      </c>
      <c r="B61" s="657" t="s">
        <v>826</v>
      </c>
      <c r="D61" s="656"/>
      <c r="E61" s="656"/>
    </row>
    <row r="62" spans="1:32">
      <c r="D62" s="671"/>
      <c r="E62" s="671"/>
    </row>
    <row r="63" spans="1:32">
      <c r="D63" s="671"/>
      <c r="E63" s="671"/>
    </row>
    <row r="64" spans="1:32">
      <c r="D64" s="671"/>
      <c r="E64" s="671"/>
    </row>
    <row r="65" spans="2:24">
      <c r="D65" s="671"/>
      <c r="E65" s="671"/>
    </row>
    <row r="66" spans="2:24">
      <c r="D66" s="671"/>
      <c r="E66" s="671"/>
      <c r="O66" s="671"/>
      <c r="P66" s="671"/>
      <c r="Q66" s="671"/>
      <c r="R66" s="671"/>
      <c r="S66" s="671"/>
      <c r="T66" s="671"/>
      <c r="U66" s="671"/>
      <c r="V66" s="671"/>
      <c r="W66" s="671"/>
      <c r="X66" s="671"/>
    </row>
    <row r="67" spans="2:24">
      <c r="D67" s="671"/>
      <c r="E67" s="671"/>
    </row>
    <row r="68" spans="2:24">
      <c r="D68" s="671"/>
      <c r="E68" s="671"/>
    </row>
    <row r="69" spans="2:24">
      <c r="D69" s="671"/>
      <c r="E69" s="671"/>
    </row>
    <row r="70" spans="2:24">
      <c r="D70" s="671"/>
      <c r="E70" s="671"/>
    </row>
    <row r="71" spans="2:24">
      <c r="D71" s="671"/>
      <c r="E71" s="671"/>
    </row>
    <row r="72" spans="2:24">
      <c r="B72" s="652"/>
      <c r="D72" s="671"/>
      <c r="E72" s="671"/>
    </row>
    <row r="73" spans="2:24">
      <c r="D73" s="671"/>
      <c r="E73" s="671"/>
    </row>
    <row r="74" spans="2:24">
      <c r="B74" s="652"/>
      <c r="D74" s="671"/>
      <c r="E74" s="671"/>
    </row>
  </sheetData>
  <mergeCells count="6">
    <mergeCell ref="X5:AF5"/>
    <mergeCell ref="A1:N1"/>
    <mergeCell ref="A2:N2"/>
    <mergeCell ref="A3:N3"/>
    <mergeCell ref="F5:N5"/>
    <mergeCell ref="O5:W5"/>
  </mergeCells>
  <printOptions horizontalCentered="1"/>
  <pageMargins left="0.5" right="0.5" top="0.5" bottom="0.5" header="0.25" footer="0.25"/>
  <pageSetup scale="41" fitToHeight="0" orientation="landscape" cellComments="asDisplayed" r:id="rId1"/>
  <headerFooter alignWithMargins="0"/>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D960E-EA74-4249-8338-05CF8F429843}">
  <sheetPr>
    <tabColor rgb="FF92D050"/>
    <pageSetUpPr fitToPage="1"/>
  </sheetPr>
  <dimension ref="A1:Z48"/>
  <sheetViews>
    <sheetView view="pageBreakPreview" zoomScaleNormal="100" zoomScaleSheetLayoutView="100" workbookViewId="0">
      <selection activeCell="E43" sqref="E43"/>
    </sheetView>
  </sheetViews>
  <sheetFormatPr defaultColWidth="7.08984375" defaultRowHeight="10.199999999999999"/>
  <cols>
    <col min="1" max="1" width="2.54296875" style="691" customWidth="1"/>
    <col min="2" max="2" width="7.6328125" style="714" customWidth="1"/>
    <col min="3" max="3" width="32.1796875" style="714" customWidth="1"/>
    <col min="4" max="4" width="7.453125" style="714" customWidth="1"/>
    <col min="5" max="16" width="7.453125" style="719" customWidth="1"/>
    <col min="17" max="17" width="8.453125" style="719" customWidth="1"/>
    <col min="18" max="18" width="1.453125" style="719" customWidth="1"/>
    <col min="19" max="19" width="10" style="719" customWidth="1"/>
    <col min="20" max="20" width="1.453125" style="719" customWidth="1"/>
    <col min="21" max="21" width="9.81640625" style="719" customWidth="1"/>
    <col min="22" max="22" width="1.453125" style="691" customWidth="1"/>
    <col min="23" max="23" width="7.453125" style="691" customWidth="1"/>
    <col min="24" max="16384" width="7.08984375" style="691"/>
  </cols>
  <sheetData>
    <row r="1" spans="1:23" ht="15">
      <c r="A1" s="942" t="s">
        <v>827</v>
      </c>
      <c r="B1" s="942"/>
      <c r="C1" s="942"/>
      <c r="D1" s="942"/>
      <c r="E1" s="942"/>
      <c r="F1" s="942"/>
      <c r="G1" s="942"/>
      <c r="H1" s="942"/>
      <c r="I1" s="942"/>
      <c r="J1" s="942"/>
      <c r="K1" s="942"/>
      <c r="L1" s="942" t="s">
        <v>827</v>
      </c>
      <c r="M1" s="942"/>
      <c r="N1" s="942"/>
      <c r="O1" s="942"/>
      <c r="P1" s="942"/>
      <c r="Q1" s="942"/>
      <c r="R1" s="942"/>
      <c r="S1" s="942"/>
      <c r="T1" s="942"/>
      <c r="U1" s="942"/>
      <c r="V1" s="942"/>
      <c r="W1" s="942"/>
    </row>
    <row r="2" spans="1:23" ht="15.6">
      <c r="A2" s="955"/>
      <c r="B2" s="955"/>
      <c r="C2" s="955"/>
      <c r="D2" s="955"/>
      <c r="E2" s="955"/>
      <c r="F2" s="955"/>
      <c r="G2" s="955"/>
      <c r="H2" s="955"/>
      <c r="I2" s="955"/>
      <c r="J2" s="955"/>
      <c r="K2" s="955"/>
      <c r="L2" s="955"/>
      <c r="M2" s="955"/>
      <c r="N2" s="955"/>
      <c r="O2" s="955"/>
      <c r="P2" s="955"/>
      <c r="Q2" s="955"/>
      <c r="R2" s="955"/>
      <c r="S2" s="955"/>
      <c r="T2" s="955"/>
      <c r="U2" s="955"/>
      <c r="V2" s="955"/>
      <c r="W2" s="955"/>
    </row>
    <row r="3" spans="1:23" ht="15.6">
      <c r="A3" s="692"/>
      <c r="B3" s="693"/>
      <c r="C3" s="860" t="s">
        <v>828</v>
      </c>
      <c r="D3" s="860"/>
      <c r="E3" s="860"/>
      <c r="F3" s="860"/>
      <c r="G3" s="860"/>
      <c r="H3" s="693"/>
      <c r="I3" s="693"/>
      <c r="J3" s="693"/>
      <c r="K3" s="693"/>
      <c r="L3" s="693"/>
      <c r="M3" s="693"/>
      <c r="N3" s="860" t="s">
        <v>524</v>
      </c>
      <c r="O3" s="860"/>
      <c r="P3" s="860"/>
      <c r="Q3" s="860"/>
      <c r="R3" s="860"/>
      <c r="S3" s="860"/>
      <c r="T3" s="860"/>
      <c r="U3" s="860"/>
      <c r="V3" s="693"/>
      <c r="W3" s="693"/>
    </row>
    <row r="5" spans="1:23" s="694" customFormat="1">
      <c r="B5" s="695" t="s">
        <v>174</v>
      </c>
      <c r="C5" s="696" t="s">
        <v>370</v>
      </c>
      <c r="D5" s="697" t="s">
        <v>829</v>
      </c>
      <c r="E5" s="697" t="s">
        <v>714</v>
      </c>
      <c r="F5" s="697" t="s">
        <v>830</v>
      </c>
      <c r="G5" s="697" t="s">
        <v>716</v>
      </c>
      <c r="H5" s="697" t="s">
        <v>717</v>
      </c>
      <c r="I5" s="697" t="s">
        <v>737</v>
      </c>
      <c r="J5" s="697" t="s">
        <v>738</v>
      </c>
      <c r="K5" s="697" t="s">
        <v>739</v>
      </c>
      <c r="L5" s="697" t="s">
        <v>740</v>
      </c>
      <c r="M5" s="697" t="s">
        <v>808</v>
      </c>
      <c r="N5" s="697" t="s">
        <v>809</v>
      </c>
      <c r="O5" s="697" t="s">
        <v>831</v>
      </c>
      <c r="P5" s="697" t="s">
        <v>832</v>
      </c>
      <c r="Q5" s="696" t="s">
        <v>833</v>
      </c>
      <c r="S5" s="694" t="s">
        <v>834</v>
      </c>
      <c r="U5" s="694" t="s">
        <v>835</v>
      </c>
      <c r="W5" s="694" t="s">
        <v>836</v>
      </c>
    </row>
    <row r="6" spans="1:23" s="700" customFormat="1" ht="36.75" customHeight="1">
      <c r="A6" s="951" t="s">
        <v>43</v>
      </c>
      <c r="B6" s="951" t="s">
        <v>837</v>
      </c>
      <c r="C6" s="953" t="s">
        <v>838</v>
      </c>
      <c r="D6" s="698" t="s">
        <v>839</v>
      </c>
      <c r="E6" s="699" t="s">
        <v>840</v>
      </c>
      <c r="F6" s="699" t="s">
        <v>841</v>
      </c>
      <c r="G6" s="699" t="s">
        <v>842</v>
      </c>
      <c r="H6" s="699" t="s">
        <v>843</v>
      </c>
      <c r="I6" s="699" t="s">
        <v>844</v>
      </c>
      <c r="J6" s="699" t="s">
        <v>845</v>
      </c>
      <c r="K6" s="699" t="s">
        <v>846</v>
      </c>
      <c r="L6" s="699" t="s">
        <v>847</v>
      </c>
      <c r="M6" s="699" t="s">
        <v>848</v>
      </c>
      <c r="N6" s="699" t="s">
        <v>849</v>
      </c>
      <c r="O6" s="699" t="s">
        <v>850</v>
      </c>
      <c r="P6" s="699" t="s">
        <v>839</v>
      </c>
      <c r="Q6" s="951" t="s">
        <v>851</v>
      </c>
      <c r="R6" s="951" t="s">
        <v>852</v>
      </c>
      <c r="S6" s="951" t="s">
        <v>853</v>
      </c>
      <c r="T6" s="951" t="s">
        <v>852</v>
      </c>
      <c r="U6" s="951" t="s">
        <v>854</v>
      </c>
      <c r="V6" s="951" t="s">
        <v>164</v>
      </c>
      <c r="W6" s="951" t="s">
        <v>855</v>
      </c>
    </row>
    <row r="7" spans="1:23" s="700" customFormat="1" ht="28.5" customHeight="1">
      <c r="A7" s="951"/>
      <c r="B7" s="951"/>
      <c r="C7" s="954"/>
      <c r="D7" s="701">
        <f>E7-1</f>
        <v>2021</v>
      </c>
      <c r="E7" s="702">
        <v>2022</v>
      </c>
      <c r="F7" s="702">
        <v>2022</v>
      </c>
      <c r="G7" s="702">
        <v>2022</v>
      </c>
      <c r="H7" s="702">
        <v>2022</v>
      </c>
      <c r="I7" s="702">
        <v>2022</v>
      </c>
      <c r="J7" s="702">
        <v>2022</v>
      </c>
      <c r="K7" s="702">
        <v>2022</v>
      </c>
      <c r="L7" s="702">
        <v>2022</v>
      </c>
      <c r="M7" s="702">
        <v>2022</v>
      </c>
      <c r="N7" s="702">
        <v>2022</v>
      </c>
      <c r="O7" s="702">
        <v>2022</v>
      </c>
      <c r="P7" s="702">
        <v>2022</v>
      </c>
      <c r="Q7" s="951"/>
      <c r="R7" s="951"/>
      <c r="S7" s="951"/>
      <c r="T7" s="951"/>
      <c r="U7" s="951"/>
      <c r="V7" s="951"/>
      <c r="W7" s="951"/>
    </row>
    <row r="8" spans="1:23" ht="18" customHeight="1">
      <c r="A8" s="691" t="s">
        <v>257</v>
      </c>
      <c r="B8" s="703"/>
      <c r="C8" s="704"/>
      <c r="D8" s="704"/>
      <c r="E8" s="704"/>
      <c r="F8" s="704"/>
      <c r="G8" s="704"/>
      <c r="H8" s="704"/>
      <c r="I8" s="704"/>
      <c r="J8" s="704"/>
      <c r="K8" s="704"/>
      <c r="L8" s="704"/>
      <c r="M8" s="704"/>
      <c r="N8" s="704"/>
      <c r="O8" s="704"/>
      <c r="P8" s="704"/>
      <c r="Q8" s="705">
        <f t="shared" ref="Q8:Q32" si="0">IFERROR(SUM(D8:P8)/13,0)</f>
        <v>0</v>
      </c>
      <c r="R8" s="706"/>
      <c r="S8" s="707"/>
      <c r="T8" s="706"/>
      <c r="U8" s="707"/>
      <c r="V8" s="708"/>
      <c r="W8" s="709">
        <f t="shared" ref="W8:W32" si="1">Q8*S8*U8</f>
        <v>0</v>
      </c>
    </row>
    <row r="9" spans="1:23" ht="15" customHeight="1">
      <c r="A9" s="691" t="s">
        <v>856</v>
      </c>
      <c r="B9" s="710"/>
      <c r="C9" s="711"/>
      <c r="D9" s="711"/>
      <c r="E9" s="711"/>
      <c r="F9" s="711"/>
      <c r="G9" s="711"/>
      <c r="H9" s="711"/>
      <c r="I9" s="711"/>
      <c r="J9" s="711"/>
      <c r="K9" s="711"/>
      <c r="L9" s="711"/>
      <c r="M9" s="711"/>
      <c r="N9" s="711"/>
      <c r="O9" s="711"/>
      <c r="P9" s="711"/>
      <c r="Q9" s="705">
        <f t="shared" si="0"/>
        <v>0</v>
      </c>
      <c r="R9" s="705"/>
      <c r="S9" s="712"/>
      <c r="T9" s="705"/>
      <c r="U9" s="712"/>
      <c r="V9" s="713"/>
      <c r="W9" s="709">
        <f t="shared" si="1"/>
        <v>0</v>
      </c>
    </row>
    <row r="10" spans="1:23">
      <c r="A10" s="691" t="s">
        <v>857</v>
      </c>
      <c r="B10" s="710"/>
      <c r="C10" s="711"/>
      <c r="D10" s="711"/>
      <c r="E10" s="711"/>
      <c r="F10" s="711"/>
      <c r="G10" s="711"/>
      <c r="H10" s="711"/>
      <c r="I10" s="711"/>
      <c r="J10" s="711"/>
      <c r="K10" s="711"/>
      <c r="L10" s="711"/>
      <c r="M10" s="711"/>
      <c r="N10" s="711"/>
      <c r="O10" s="711"/>
      <c r="P10" s="711"/>
      <c r="Q10" s="705">
        <f t="shared" si="0"/>
        <v>0</v>
      </c>
      <c r="R10" s="705"/>
      <c r="S10" s="712"/>
      <c r="T10" s="705"/>
      <c r="U10" s="712"/>
      <c r="V10" s="713"/>
      <c r="W10" s="709">
        <f t="shared" si="1"/>
        <v>0</v>
      </c>
    </row>
    <row r="11" spans="1:23">
      <c r="A11" s="691" t="s">
        <v>259</v>
      </c>
      <c r="B11" s="710"/>
      <c r="C11" s="711"/>
      <c r="D11" s="711"/>
      <c r="E11" s="711"/>
      <c r="F11" s="711"/>
      <c r="G11" s="711"/>
      <c r="H11" s="711"/>
      <c r="I11" s="711"/>
      <c r="J11" s="711"/>
      <c r="K11" s="711"/>
      <c r="L11" s="711"/>
      <c r="M11" s="711"/>
      <c r="N11" s="711"/>
      <c r="O11" s="711"/>
      <c r="P11" s="711"/>
      <c r="Q11" s="705">
        <f t="shared" si="0"/>
        <v>0</v>
      </c>
      <c r="R11" s="705"/>
      <c r="S11" s="712"/>
      <c r="T11" s="705"/>
      <c r="U11" s="712"/>
      <c r="V11" s="713"/>
      <c r="W11" s="709">
        <f t="shared" si="1"/>
        <v>0</v>
      </c>
    </row>
    <row r="12" spans="1:23">
      <c r="A12" s="691" t="s">
        <v>259</v>
      </c>
      <c r="B12" s="710"/>
      <c r="C12" s="711"/>
      <c r="D12" s="711"/>
      <c r="E12" s="711"/>
      <c r="F12" s="711"/>
      <c r="G12" s="711"/>
      <c r="H12" s="711"/>
      <c r="I12" s="711"/>
      <c r="J12" s="711"/>
      <c r="K12" s="711"/>
      <c r="L12" s="711"/>
      <c r="M12" s="711"/>
      <c r="N12" s="711"/>
      <c r="O12" s="711"/>
      <c r="P12" s="711"/>
      <c r="Q12" s="705">
        <f t="shared" si="0"/>
        <v>0</v>
      </c>
      <c r="R12" s="705"/>
      <c r="S12" s="712"/>
      <c r="T12" s="705"/>
      <c r="U12" s="712"/>
      <c r="V12" s="713"/>
      <c r="W12" s="709">
        <f t="shared" si="1"/>
        <v>0</v>
      </c>
    </row>
    <row r="13" spans="1:23">
      <c r="A13" s="691" t="s">
        <v>259</v>
      </c>
      <c r="B13" s="710"/>
      <c r="C13" s="711"/>
      <c r="D13" s="711"/>
      <c r="E13" s="711"/>
      <c r="F13" s="711"/>
      <c r="G13" s="711"/>
      <c r="H13" s="711"/>
      <c r="I13" s="711"/>
      <c r="J13" s="711"/>
      <c r="K13" s="711"/>
      <c r="L13" s="711"/>
      <c r="M13" s="711"/>
      <c r="N13" s="711"/>
      <c r="O13" s="711"/>
      <c r="P13" s="711"/>
      <c r="Q13" s="705">
        <f t="shared" si="0"/>
        <v>0</v>
      </c>
      <c r="R13" s="705"/>
      <c r="S13" s="712"/>
      <c r="T13" s="705"/>
      <c r="U13" s="712"/>
      <c r="V13" s="713"/>
      <c r="W13" s="709">
        <f t="shared" si="1"/>
        <v>0</v>
      </c>
    </row>
    <row r="14" spans="1:23">
      <c r="A14" s="691" t="s">
        <v>259</v>
      </c>
      <c r="B14" s="710"/>
      <c r="C14" s="711"/>
      <c r="D14" s="711"/>
      <c r="E14" s="711"/>
      <c r="F14" s="711"/>
      <c r="G14" s="711"/>
      <c r="H14" s="711"/>
      <c r="I14" s="711"/>
      <c r="J14" s="711"/>
      <c r="K14" s="711"/>
      <c r="L14" s="711"/>
      <c r="M14" s="711"/>
      <c r="N14" s="711"/>
      <c r="O14" s="711"/>
      <c r="P14" s="711"/>
      <c r="Q14" s="705">
        <f t="shared" si="0"/>
        <v>0</v>
      </c>
      <c r="R14" s="705"/>
      <c r="S14" s="712"/>
      <c r="T14" s="705"/>
      <c r="U14" s="712"/>
      <c r="V14" s="713"/>
      <c r="W14" s="709">
        <f t="shared" si="1"/>
        <v>0</v>
      </c>
    </row>
    <row r="15" spans="1:23">
      <c r="A15" s="691" t="s">
        <v>259</v>
      </c>
      <c r="B15" s="710"/>
      <c r="C15" s="711"/>
      <c r="D15" s="711"/>
      <c r="E15" s="711"/>
      <c r="F15" s="711"/>
      <c r="G15" s="711"/>
      <c r="H15" s="711"/>
      <c r="I15" s="711"/>
      <c r="J15" s="711"/>
      <c r="K15" s="711"/>
      <c r="L15" s="711"/>
      <c r="M15" s="711"/>
      <c r="N15" s="711"/>
      <c r="O15" s="711"/>
      <c r="P15" s="711"/>
      <c r="Q15" s="705">
        <f t="shared" si="0"/>
        <v>0</v>
      </c>
      <c r="R15" s="705"/>
      <c r="S15" s="712"/>
      <c r="T15" s="705"/>
      <c r="U15" s="712"/>
      <c r="V15" s="713"/>
      <c r="W15" s="709">
        <f t="shared" si="1"/>
        <v>0</v>
      </c>
    </row>
    <row r="16" spans="1:23">
      <c r="A16" s="691" t="s">
        <v>259</v>
      </c>
      <c r="B16" s="710"/>
      <c r="C16" s="711"/>
      <c r="D16" s="711"/>
      <c r="E16" s="711"/>
      <c r="F16" s="711"/>
      <c r="G16" s="711"/>
      <c r="H16" s="711"/>
      <c r="I16" s="711"/>
      <c r="J16" s="711"/>
      <c r="K16" s="711"/>
      <c r="L16" s="711"/>
      <c r="M16" s="711"/>
      <c r="N16" s="711"/>
      <c r="O16" s="711"/>
      <c r="P16" s="711"/>
      <c r="Q16" s="705">
        <f t="shared" si="0"/>
        <v>0</v>
      </c>
      <c r="R16" s="705"/>
      <c r="S16" s="712"/>
      <c r="T16" s="705"/>
      <c r="U16" s="712"/>
      <c r="V16" s="713"/>
      <c r="W16" s="709">
        <f t="shared" si="1"/>
        <v>0</v>
      </c>
    </row>
    <row r="17" spans="1:23">
      <c r="A17" s="691" t="s">
        <v>259</v>
      </c>
      <c r="B17" s="710"/>
      <c r="C17" s="711"/>
      <c r="D17" s="711"/>
      <c r="E17" s="711"/>
      <c r="F17" s="711"/>
      <c r="G17" s="711"/>
      <c r="H17" s="711"/>
      <c r="I17" s="711"/>
      <c r="J17" s="711"/>
      <c r="K17" s="711"/>
      <c r="L17" s="711"/>
      <c r="M17" s="711"/>
      <c r="N17" s="711"/>
      <c r="O17" s="711"/>
      <c r="P17" s="711"/>
      <c r="Q17" s="705">
        <f t="shared" si="0"/>
        <v>0</v>
      </c>
      <c r="R17" s="705"/>
      <c r="S17" s="712"/>
      <c r="T17" s="705"/>
      <c r="U17" s="712"/>
      <c r="V17" s="713"/>
      <c r="W17" s="709">
        <f t="shared" si="1"/>
        <v>0</v>
      </c>
    </row>
    <row r="18" spans="1:23">
      <c r="A18" s="691" t="s">
        <v>259</v>
      </c>
      <c r="B18" s="710"/>
      <c r="C18" s="711"/>
      <c r="D18" s="711"/>
      <c r="E18" s="711"/>
      <c r="F18" s="711"/>
      <c r="G18" s="711"/>
      <c r="H18" s="711"/>
      <c r="I18" s="711"/>
      <c r="J18" s="711"/>
      <c r="K18" s="711"/>
      <c r="L18" s="711"/>
      <c r="M18" s="711"/>
      <c r="N18" s="711"/>
      <c r="O18" s="711"/>
      <c r="P18" s="711"/>
      <c r="Q18" s="705">
        <f t="shared" si="0"/>
        <v>0</v>
      </c>
      <c r="R18" s="705"/>
      <c r="S18" s="712"/>
      <c r="T18" s="705"/>
      <c r="U18" s="712"/>
      <c r="V18" s="713"/>
      <c r="W18" s="709">
        <f t="shared" si="1"/>
        <v>0</v>
      </c>
    </row>
    <row r="19" spans="1:23">
      <c r="A19" s="691" t="s">
        <v>259</v>
      </c>
      <c r="B19" s="710"/>
      <c r="C19" s="711"/>
      <c r="D19" s="711"/>
      <c r="E19" s="711"/>
      <c r="F19" s="711"/>
      <c r="G19" s="711"/>
      <c r="H19" s="711"/>
      <c r="I19" s="711"/>
      <c r="J19" s="711"/>
      <c r="K19" s="711"/>
      <c r="L19" s="711"/>
      <c r="M19" s="711"/>
      <c r="N19" s="711"/>
      <c r="O19" s="711"/>
      <c r="P19" s="711"/>
      <c r="Q19" s="705">
        <f t="shared" si="0"/>
        <v>0</v>
      </c>
      <c r="R19" s="705"/>
      <c r="S19" s="712"/>
      <c r="T19" s="705"/>
      <c r="U19" s="712"/>
      <c r="V19" s="713"/>
      <c r="W19" s="709">
        <f t="shared" si="1"/>
        <v>0</v>
      </c>
    </row>
    <row r="20" spans="1:23">
      <c r="A20" s="691" t="s">
        <v>259</v>
      </c>
      <c r="B20" s="710"/>
      <c r="C20" s="711"/>
      <c r="D20" s="711"/>
      <c r="E20" s="711"/>
      <c r="F20" s="711"/>
      <c r="G20" s="711"/>
      <c r="H20" s="711"/>
      <c r="I20" s="711"/>
      <c r="J20" s="711"/>
      <c r="K20" s="711"/>
      <c r="L20" s="711"/>
      <c r="M20" s="711"/>
      <c r="N20" s="711"/>
      <c r="O20" s="711"/>
      <c r="P20" s="711"/>
      <c r="Q20" s="705">
        <f t="shared" si="0"/>
        <v>0</v>
      </c>
      <c r="R20" s="705"/>
      <c r="S20" s="712"/>
      <c r="T20" s="705"/>
      <c r="U20" s="712"/>
      <c r="V20" s="713"/>
      <c r="W20" s="709">
        <f t="shared" si="1"/>
        <v>0</v>
      </c>
    </row>
    <row r="21" spans="1:23">
      <c r="A21" s="691" t="s">
        <v>259</v>
      </c>
      <c r="B21" s="710"/>
      <c r="C21" s="711"/>
      <c r="D21" s="711"/>
      <c r="E21" s="711"/>
      <c r="F21" s="711"/>
      <c r="G21" s="711"/>
      <c r="H21" s="711"/>
      <c r="I21" s="711"/>
      <c r="J21" s="711"/>
      <c r="K21" s="711"/>
      <c r="L21" s="711"/>
      <c r="M21" s="711"/>
      <c r="N21" s="711"/>
      <c r="O21" s="711"/>
      <c r="P21" s="711"/>
      <c r="Q21" s="705">
        <f t="shared" si="0"/>
        <v>0</v>
      </c>
      <c r="R21" s="705"/>
      <c r="S21" s="712"/>
      <c r="T21" s="705"/>
      <c r="U21" s="712"/>
      <c r="V21" s="713"/>
      <c r="W21" s="709">
        <f t="shared" si="1"/>
        <v>0</v>
      </c>
    </row>
    <row r="22" spans="1:23">
      <c r="A22" s="691" t="s">
        <v>259</v>
      </c>
      <c r="B22" s="710"/>
      <c r="C22" s="711"/>
      <c r="D22" s="711"/>
      <c r="E22" s="711"/>
      <c r="F22" s="711"/>
      <c r="G22" s="711"/>
      <c r="H22" s="711"/>
      <c r="I22" s="711"/>
      <c r="J22" s="711"/>
      <c r="K22" s="711"/>
      <c r="L22" s="711"/>
      <c r="M22" s="711"/>
      <c r="N22" s="711"/>
      <c r="O22" s="711"/>
      <c r="P22" s="711"/>
      <c r="Q22" s="705">
        <f t="shared" si="0"/>
        <v>0</v>
      </c>
      <c r="R22" s="705"/>
      <c r="S22" s="712"/>
      <c r="T22" s="705"/>
      <c r="U22" s="712"/>
      <c r="V22" s="713"/>
      <c r="W22" s="709">
        <f t="shared" si="1"/>
        <v>0</v>
      </c>
    </row>
    <row r="23" spans="1:23">
      <c r="A23" s="691" t="s">
        <v>259</v>
      </c>
      <c r="B23" s="710"/>
      <c r="C23" s="711"/>
      <c r="D23" s="711"/>
      <c r="E23" s="711"/>
      <c r="F23" s="711"/>
      <c r="G23" s="711"/>
      <c r="H23" s="711"/>
      <c r="I23" s="711"/>
      <c r="J23" s="711"/>
      <c r="K23" s="711"/>
      <c r="L23" s="711"/>
      <c r="M23" s="711"/>
      <c r="N23" s="711"/>
      <c r="O23" s="711"/>
      <c r="P23" s="711"/>
      <c r="Q23" s="705">
        <f t="shared" si="0"/>
        <v>0</v>
      </c>
      <c r="R23" s="705"/>
      <c r="S23" s="712"/>
      <c r="T23" s="705"/>
      <c r="U23" s="712"/>
      <c r="V23" s="713"/>
      <c r="W23" s="709">
        <f t="shared" si="1"/>
        <v>0</v>
      </c>
    </row>
    <row r="24" spans="1:23">
      <c r="A24" s="691" t="s">
        <v>259</v>
      </c>
      <c r="B24" s="710"/>
      <c r="C24" s="711"/>
      <c r="D24" s="711"/>
      <c r="E24" s="711"/>
      <c r="F24" s="711"/>
      <c r="G24" s="711"/>
      <c r="H24" s="711"/>
      <c r="I24" s="711"/>
      <c r="J24" s="711"/>
      <c r="K24" s="711"/>
      <c r="L24" s="711"/>
      <c r="M24" s="711"/>
      <c r="N24" s="711"/>
      <c r="O24" s="711"/>
      <c r="P24" s="711"/>
      <c r="Q24" s="705">
        <f t="shared" si="0"/>
        <v>0</v>
      </c>
      <c r="R24" s="705"/>
      <c r="S24" s="712"/>
      <c r="T24" s="705"/>
      <c r="U24" s="712"/>
      <c r="V24" s="713"/>
      <c r="W24" s="709">
        <f t="shared" si="1"/>
        <v>0</v>
      </c>
    </row>
    <row r="25" spans="1:23">
      <c r="A25" s="691" t="s">
        <v>259</v>
      </c>
      <c r="B25" s="710"/>
      <c r="C25" s="711"/>
      <c r="D25" s="711"/>
      <c r="E25" s="711"/>
      <c r="F25" s="711"/>
      <c r="G25" s="711"/>
      <c r="H25" s="711"/>
      <c r="I25" s="711"/>
      <c r="J25" s="711"/>
      <c r="K25" s="711"/>
      <c r="L25" s="711"/>
      <c r="M25" s="711"/>
      <c r="N25" s="711"/>
      <c r="O25" s="711"/>
      <c r="P25" s="711"/>
      <c r="Q25" s="705">
        <f t="shared" si="0"/>
        <v>0</v>
      </c>
      <c r="R25" s="705"/>
      <c r="S25" s="712"/>
      <c r="T25" s="705"/>
      <c r="U25" s="712"/>
      <c r="V25" s="713"/>
      <c r="W25" s="709">
        <f t="shared" si="1"/>
        <v>0</v>
      </c>
    </row>
    <row r="26" spans="1:23">
      <c r="A26" s="691" t="s">
        <v>259</v>
      </c>
      <c r="B26" s="710"/>
      <c r="C26" s="711"/>
      <c r="D26" s="711"/>
      <c r="E26" s="711"/>
      <c r="F26" s="711"/>
      <c r="G26" s="711"/>
      <c r="H26" s="711"/>
      <c r="I26" s="711"/>
      <c r="J26" s="711"/>
      <c r="K26" s="711"/>
      <c r="L26" s="711"/>
      <c r="M26" s="711"/>
      <c r="N26" s="711"/>
      <c r="O26" s="711"/>
      <c r="P26" s="711"/>
      <c r="Q26" s="705">
        <f t="shared" si="0"/>
        <v>0</v>
      </c>
      <c r="R26" s="705"/>
      <c r="S26" s="712"/>
      <c r="T26" s="705"/>
      <c r="U26" s="712"/>
      <c r="V26" s="713"/>
      <c r="W26" s="709">
        <f t="shared" si="1"/>
        <v>0</v>
      </c>
    </row>
    <row r="27" spans="1:23">
      <c r="A27" s="691" t="s">
        <v>259</v>
      </c>
      <c r="B27" s="710"/>
      <c r="C27" s="711"/>
      <c r="D27" s="711"/>
      <c r="E27" s="711"/>
      <c r="F27" s="711"/>
      <c r="G27" s="711"/>
      <c r="H27" s="711"/>
      <c r="I27" s="711"/>
      <c r="J27" s="711"/>
      <c r="K27" s="711"/>
      <c r="L27" s="711"/>
      <c r="M27" s="711"/>
      <c r="N27" s="711"/>
      <c r="O27" s="711"/>
      <c r="P27" s="711"/>
      <c r="Q27" s="705">
        <f t="shared" si="0"/>
        <v>0</v>
      </c>
      <c r="R27" s="705"/>
      <c r="S27" s="712"/>
      <c r="T27" s="705"/>
      <c r="U27" s="712"/>
      <c r="V27" s="713"/>
      <c r="W27" s="709">
        <f t="shared" si="1"/>
        <v>0</v>
      </c>
    </row>
    <row r="28" spans="1:23">
      <c r="A28" s="691" t="s">
        <v>259</v>
      </c>
      <c r="B28" s="710"/>
      <c r="C28" s="711"/>
      <c r="D28" s="711"/>
      <c r="E28" s="711"/>
      <c r="F28" s="711"/>
      <c r="G28" s="711"/>
      <c r="H28" s="711"/>
      <c r="I28" s="711"/>
      <c r="J28" s="711"/>
      <c r="K28" s="711"/>
      <c r="L28" s="711"/>
      <c r="M28" s="711"/>
      <c r="N28" s="711"/>
      <c r="O28" s="711"/>
      <c r="P28" s="711"/>
      <c r="Q28" s="705">
        <f t="shared" si="0"/>
        <v>0</v>
      </c>
      <c r="R28" s="705"/>
      <c r="S28" s="712"/>
      <c r="T28" s="705"/>
      <c r="U28" s="712"/>
      <c r="V28" s="713"/>
      <c r="W28" s="709">
        <f t="shared" si="1"/>
        <v>0</v>
      </c>
    </row>
    <row r="29" spans="1:23">
      <c r="A29" s="691" t="s">
        <v>259</v>
      </c>
      <c r="B29" s="710"/>
      <c r="C29" s="711"/>
      <c r="D29" s="711"/>
      <c r="E29" s="711"/>
      <c r="F29" s="711"/>
      <c r="G29" s="711"/>
      <c r="H29" s="711"/>
      <c r="I29" s="711"/>
      <c r="J29" s="711"/>
      <c r="K29" s="711"/>
      <c r="L29" s="711"/>
      <c r="M29" s="711"/>
      <c r="N29" s="711"/>
      <c r="O29" s="711"/>
      <c r="P29" s="711"/>
      <c r="Q29" s="705">
        <f t="shared" si="0"/>
        <v>0</v>
      </c>
      <c r="R29" s="705"/>
      <c r="S29" s="712"/>
      <c r="T29" s="705"/>
      <c r="U29" s="712"/>
      <c r="V29" s="713"/>
      <c r="W29" s="709">
        <f t="shared" si="1"/>
        <v>0</v>
      </c>
    </row>
    <row r="30" spans="1:23">
      <c r="A30" s="691" t="s">
        <v>259</v>
      </c>
      <c r="B30" s="710"/>
      <c r="C30" s="711"/>
      <c r="D30" s="711"/>
      <c r="E30" s="711"/>
      <c r="F30" s="711"/>
      <c r="G30" s="711"/>
      <c r="H30" s="711"/>
      <c r="I30" s="711"/>
      <c r="J30" s="711"/>
      <c r="K30" s="711"/>
      <c r="L30" s="711"/>
      <c r="M30" s="711"/>
      <c r="N30" s="711"/>
      <c r="O30" s="711"/>
      <c r="P30" s="711"/>
      <c r="Q30" s="705">
        <f t="shared" si="0"/>
        <v>0</v>
      </c>
      <c r="R30" s="705"/>
      <c r="S30" s="712"/>
      <c r="T30" s="705"/>
      <c r="U30" s="712"/>
      <c r="V30" s="713"/>
      <c r="W30" s="709">
        <f t="shared" si="1"/>
        <v>0</v>
      </c>
    </row>
    <row r="31" spans="1:23">
      <c r="A31" s="691" t="s">
        <v>259</v>
      </c>
      <c r="B31" s="710"/>
      <c r="C31" s="711"/>
      <c r="D31" s="711"/>
      <c r="E31" s="711"/>
      <c r="F31" s="711"/>
      <c r="G31" s="711"/>
      <c r="H31" s="711"/>
      <c r="I31" s="711"/>
      <c r="J31" s="711"/>
      <c r="K31" s="711"/>
      <c r="L31" s="711"/>
      <c r="M31" s="711"/>
      <c r="N31" s="711"/>
      <c r="O31" s="711"/>
      <c r="P31" s="711"/>
      <c r="Q31" s="705">
        <f t="shared" si="0"/>
        <v>0</v>
      </c>
      <c r="R31" s="705"/>
      <c r="S31" s="712"/>
      <c r="T31" s="705"/>
      <c r="U31" s="712"/>
      <c r="V31" s="713"/>
      <c r="W31" s="709">
        <f t="shared" si="1"/>
        <v>0</v>
      </c>
    </row>
    <row r="32" spans="1:23">
      <c r="A32" s="691" t="s">
        <v>261</v>
      </c>
      <c r="B32" s="710"/>
      <c r="C32" s="711"/>
      <c r="D32" s="711"/>
      <c r="E32" s="711"/>
      <c r="F32" s="711"/>
      <c r="G32" s="711"/>
      <c r="H32" s="711"/>
      <c r="I32" s="711"/>
      <c r="J32" s="711"/>
      <c r="K32" s="711"/>
      <c r="L32" s="711"/>
      <c r="M32" s="711"/>
      <c r="N32" s="711"/>
      <c r="O32" s="711"/>
      <c r="P32" s="711"/>
      <c r="Q32" s="705">
        <f t="shared" si="0"/>
        <v>0</v>
      </c>
      <c r="R32" s="705"/>
      <c r="S32" s="712"/>
      <c r="T32" s="705"/>
      <c r="U32" s="712"/>
      <c r="V32" s="713"/>
      <c r="W32" s="709">
        <f t="shared" si="1"/>
        <v>0</v>
      </c>
    </row>
    <row r="33" spans="1:26" ht="15" customHeight="1">
      <c r="A33" s="691">
        <v>2</v>
      </c>
      <c r="E33" s="715"/>
      <c r="F33" s="715"/>
      <c r="G33" s="715"/>
      <c r="H33" s="715"/>
      <c r="I33" s="715"/>
      <c r="J33" s="715"/>
      <c r="K33" s="715"/>
      <c r="L33" s="715"/>
      <c r="M33" s="715"/>
      <c r="N33" s="952" t="s">
        <v>858</v>
      </c>
      <c r="O33" s="952"/>
      <c r="P33" s="952"/>
      <c r="Q33" s="716">
        <f>SUM(Q8:Q32)</f>
        <v>0</v>
      </c>
      <c r="R33" s="717"/>
      <c r="S33" s="952" t="s">
        <v>859</v>
      </c>
      <c r="T33" s="952"/>
      <c r="U33" s="952"/>
      <c r="V33" s="952"/>
      <c r="W33" s="718">
        <f>SUM(W8:W32)</f>
        <v>0</v>
      </c>
    </row>
    <row r="34" spans="1:26">
      <c r="C34" s="714" t="s">
        <v>860</v>
      </c>
      <c r="E34" s="714"/>
      <c r="V34" s="719"/>
      <c r="W34" s="720"/>
    </row>
    <row r="35" spans="1:26" ht="12" customHeight="1">
      <c r="B35" s="721" t="s">
        <v>38</v>
      </c>
      <c r="C35" s="949" t="s">
        <v>861</v>
      </c>
      <c r="D35" s="949"/>
      <c r="E35" s="949"/>
      <c r="F35" s="949"/>
      <c r="G35" s="949"/>
      <c r="H35" s="949"/>
      <c r="I35" s="949"/>
      <c r="J35" s="949"/>
      <c r="K35" s="722"/>
      <c r="L35" s="950"/>
      <c r="M35" s="950"/>
      <c r="N35" s="950"/>
      <c r="O35" s="950"/>
      <c r="P35" s="950"/>
      <c r="Q35" s="950"/>
      <c r="R35" s="950"/>
      <c r="S35" s="950"/>
      <c r="T35" s="950"/>
      <c r="U35" s="950"/>
      <c r="V35" s="950"/>
      <c r="W35" s="950"/>
      <c r="X35" s="723"/>
      <c r="Y35" s="723"/>
    </row>
    <row r="36" spans="1:26" ht="12" customHeight="1">
      <c r="B36" s="721"/>
      <c r="C36" s="949"/>
      <c r="D36" s="949"/>
      <c r="E36" s="949"/>
      <c r="F36" s="949"/>
      <c r="G36" s="949"/>
      <c r="H36" s="949"/>
      <c r="I36" s="949"/>
      <c r="J36" s="949"/>
      <c r="L36" s="950"/>
      <c r="M36" s="950"/>
      <c r="N36" s="950"/>
      <c r="O36" s="950"/>
      <c r="P36" s="950"/>
      <c r="Q36" s="950"/>
      <c r="R36" s="950"/>
      <c r="S36" s="950"/>
      <c r="T36" s="950"/>
      <c r="U36" s="950"/>
      <c r="V36" s="950"/>
      <c r="W36" s="950"/>
      <c r="X36" s="723"/>
      <c r="Y36" s="724"/>
    </row>
    <row r="37" spans="1:26">
      <c r="B37" s="721"/>
      <c r="C37" s="949"/>
      <c r="D37" s="949"/>
      <c r="E37" s="949"/>
      <c r="F37" s="949"/>
      <c r="G37" s="949"/>
      <c r="H37" s="949"/>
      <c r="I37" s="949"/>
      <c r="J37" s="949"/>
      <c r="K37" s="725"/>
      <c r="L37" s="950"/>
      <c r="M37" s="950"/>
      <c r="N37" s="950"/>
      <c r="O37" s="950"/>
      <c r="P37" s="950"/>
      <c r="Q37" s="950"/>
      <c r="R37" s="950"/>
      <c r="S37" s="950"/>
      <c r="T37" s="950"/>
      <c r="U37" s="950"/>
      <c r="V37" s="950"/>
      <c r="W37" s="950"/>
      <c r="X37" s="723"/>
      <c r="Y37" s="724"/>
      <c r="Z37" s="724"/>
    </row>
    <row r="38" spans="1:26" ht="11.25" customHeight="1">
      <c r="A38" s="721"/>
      <c r="C38" s="949"/>
      <c r="D38" s="949"/>
      <c r="E38" s="949"/>
      <c r="F38" s="949"/>
      <c r="G38" s="949"/>
      <c r="H38" s="949"/>
      <c r="I38" s="949"/>
      <c r="J38" s="949"/>
      <c r="K38" s="691"/>
      <c r="L38" s="691"/>
      <c r="M38" s="691"/>
      <c r="N38" s="691"/>
      <c r="O38" s="691"/>
      <c r="P38" s="691"/>
      <c r="Q38" s="691"/>
      <c r="R38" s="691"/>
      <c r="S38" s="691"/>
      <c r="T38" s="691"/>
      <c r="U38" s="691"/>
    </row>
    <row r="39" spans="1:26" ht="35.25" customHeight="1">
      <c r="A39" s="721"/>
      <c r="C39" s="949"/>
      <c r="D39" s="949"/>
      <c r="E39" s="949"/>
      <c r="F39" s="949"/>
      <c r="G39" s="949"/>
      <c r="H39" s="949"/>
      <c r="I39" s="949"/>
      <c r="J39" s="949"/>
      <c r="K39" s="691"/>
      <c r="L39" s="691"/>
      <c r="M39" s="691"/>
      <c r="N39" s="691"/>
      <c r="O39" s="691"/>
      <c r="P39" s="691"/>
      <c r="Q39" s="691"/>
      <c r="R39" s="691"/>
      <c r="S39" s="691"/>
      <c r="T39" s="691"/>
      <c r="U39" s="691"/>
    </row>
    <row r="40" spans="1:26" ht="11.25" customHeight="1">
      <c r="A40" s="714"/>
      <c r="J40" s="723"/>
      <c r="K40" s="691"/>
      <c r="L40" s="691"/>
      <c r="M40" s="691"/>
      <c r="N40" s="691"/>
      <c r="O40" s="691"/>
      <c r="P40" s="691"/>
      <c r="Q40" s="691"/>
      <c r="R40" s="691"/>
      <c r="S40" s="691"/>
      <c r="T40" s="691"/>
      <c r="U40" s="691"/>
    </row>
    <row r="41" spans="1:26" ht="15.75" customHeight="1">
      <c r="A41" s="714"/>
      <c r="C41" s="726"/>
      <c r="D41" s="726"/>
      <c r="E41" s="726"/>
      <c r="F41" s="726"/>
      <c r="G41" s="726"/>
      <c r="H41" s="726"/>
      <c r="I41" s="726"/>
      <c r="J41" s="726"/>
    </row>
    <row r="42" spans="1:26">
      <c r="A42" s="714"/>
      <c r="C42" s="726"/>
      <c r="D42" s="726"/>
      <c r="E42" s="726"/>
      <c r="F42" s="726"/>
      <c r="G42" s="726"/>
      <c r="H42" s="726"/>
      <c r="I42" s="726"/>
      <c r="J42" s="726"/>
    </row>
    <row r="43" spans="1:26">
      <c r="A43" s="714"/>
      <c r="C43" s="726"/>
      <c r="D43" s="726"/>
      <c r="E43" s="726"/>
      <c r="F43" s="726"/>
      <c r="G43" s="726"/>
      <c r="H43" s="726"/>
      <c r="I43" s="726"/>
      <c r="J43" s="726"/>
    </row>
    <row r="44" spans="1:26">
      <c r="A44" s="714"/>
      <c r="C44" s="726"/>
      <c r="D44" s="726"/>
      <c r="E44" s="726"/>
      <c r="F44" s="726"/>
      <c r="G44" s="726"/>
      <c r="H44" s="726"/>
      <c r="I44" s="726"/>
      <c r="J44" s="726"/>
    </row>
    <row r="45" spans="1:26">
      <c r="C45" s="726"/>
      <c r="D45" s="726"/>
      <c r="E45" s="726"/>
      <c r="F45" s="726"/>
      <c r="G45" s="726"/>
      <c r="H45" s="726"/>
      <c r="I45" s="726"/>
      <c r="J45" s="726"/>
    </row>
    <row r="46" spans="1:26">
      <c r="C46" s="726"/>
      <c r="D46" s="726"/>
      <c r="E46" s="726"/>
      <c r="F46" s="726"/>
      <c r="G46" s="726"/>
      <c r="H46" s="726"/>
      <c r="I46" s="726"/>
      <c r="J46" s="726"/>
    </row>
    <row r="47" spans="1:26">
      <c r="C47" s="726"/>
      <c r="D47" s="726"/>
      <c r="E47" s="726"/>
      <c r="F47" s="726"/>
      <c r="G47" s="726"/>
      <c r="H47" s="726"/>
      <c r="I47" s="726"/>
      <c r="J47" s="726"/>
    </row>
    <row r="48" spans="1:26">
      <c r="C48" s="726"/>
      <c r="D48" s="726"/>
      <c r="E48" s="726"/>
      <c r="F48" s="726"/>
      <c r="G48" s="726"/>
      <c r="H48" s="726"/>
      <c r="I48" s="726"/>
      <c r="J48" s="726"/>
    </row>
  </sheetData>
  <mergeCells count="20">
    <mergeCell ref="A1:K1"/>
    <mergeCell ref="L1:W1"/>
    <mergeCell ref="A2:K2"/>
    <mergeCell ref="L2:W2"/>
    <mergeCell ref="C3:G3"/>
    <mergeCell ref="N3:U3"/>
    <mergeCell ref="A6:A7"/>
    <mergeCell ref="B6:B7"/>
    <mergeCell ref="C6:C7"/>
    <mergeCell ref="Q6:Q7"/>
    <mergeCell ref="R6:R7"/>
    <mergeCell ref="C35:J39"/>
    <mergeCell ref="L35:W37"/>
    <mergeCell ref="T6:T7"/>
    <mergeCell ref="U6:U7"/>
    <mergeCell ref="V6:V7"/>
    <mergeCell ref="W6:W7"/>
    <mergeCell ref="N33:P33"/>
    <mergeCell ref="S33:V33"/>
    <mergeCell ref="S6:S7"/>
  </mergeCells>
  <pageMargins left="0.70866141732283472" right="0.70866141732283472" top="0.74803149606299213" bottom="0.74803149606299213" header="0.31496062992125984" footer="0.31496062992125984"/>
  <pageSetup scale="57" orientation="landscape" r:id="rId1"/>
  <headerFooter>
    <oddFooter>&amp;RPage &amp;P of &amp;N</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D4D6C-0BCE-4F4C-8366-F6A7E379BD44}">
  <sheetPr>
    <tabColor rgb="FF92D050"/>
    <pageSetUpPr fitToPage="1"/>
  </sheetPr>
  <dimension ref="A1:AE47"/>
  <sheetViews>
    <sheetView view="pageBreakPreview" zoomScale="80" zoomScaleNormal="100" zoomScaleSheetLayoutView="80" workbookViewId="0">
      <selection activeCell="E43" sqref="E43"/>
    </sheetView>
  </sheetViews>
  <sheetFormatPr defaultColWidth="7" defaultRowHeight="15.6"/>
  <cols>
    <col min="1" max="2" width="2.90625" style="727" customWidth="1"/>
    <col min="3" max="3" width="48.54296875" style="727" customWidth="1"/>
    <col min="4" max="4" width="12.453125" style="727" customWidth="1"/>
    <col min="5" max="5" width="10.6328125" style="727" customWidth="1"/>
    <col min="6" max="6" width="9.08984375" style="727" customWidth="1"/>
    <col min="7" max="7" width="9.6328125" style="727" customWidth="1"/>
    <col min="8" max="17" width="7.6328125" style="727" customWidth="1"/>
    <col min="18" max="18" width="8.08984375" style="759" bestFit="1" customWidth="1"/>
    <col min="19" max="19" width="8.6328125" style="763" bestFit="1" customWidth="1"/>
    <col min="20" max="20" width="9" style="764" bestFit="1" customWidth="1"/>
    <col min="21" max="21" width="14" style="758" customWidth="1"/>
    <col min="22" max="22" width="1.36328125" style="765" customWidth="1"/>
    <col min="23" max="23" width="10.1796875" style="727" customWidth="1"/>
    <col min="24" max="24" width="1.36328125" style="765" customWidth="1"/>
    <col min="25" max="25" width="7.90625" style="727" customWidth="1"/>
    <col min="26" max="26" width="8.08984375" style="727" customWidth="1"/>
    <col min="27" max="27" width="1.36328125" style="727" customWidth="1"/>
    <col min="28" max="28" width="8.1796875" style="727" customWidth="1"/>
    <col min="29" max="29" width="1.36328125" style="727" customWidth="1"/>
    <col min="30" max="30" width="6.81640625" style="727" customWidth="1"/>
    <col min="31" max="31" width="1.453125" style="727" customWidth="1"/>
    <col min="32" max="32" width="7.08984375" style="691" customWidth="1"/>
    <col min="33" max="16384" width="7" style="691"/>
  </cols>
  <sheetData>
    <row r="1" spans="1:31">
      <c r="A1" s="861" t="s">
        <v>862</v>
      </c>
      <c r="B1" s="861"/>
      <c r="C1" s="861"/>
      <c r="D1" s="861"/>
      <c r="E1" s="861"/>
      <c r="F1" s="861"/>
      <c r="G1" s="861"/>
      <c r="H1" s="861" t="s">
        <v>862</v>
      </c>
      <c r="I1" s="861"/>
      <c r="J1" s="861"/>
      <c r="K1" s="861"/>
      <c r="L1" s="861"/>
      <c r="M1" s="861"/>
      <c r="N1" s="861"/>
      <c r="O1" s="861"/>
      <c r="P1" s="861"/>
      <c r="Q1" s="861"/>
      <c r="R1" s="861"/>
      <c r="S1" s="861"/>
      <c r="T1" s="861"/>
      <c r="U1" s="861" t="s">
        <v>862</v>
      </c>
      <c r="V1" s="861"/>
      <c r="W1" s="861"/>
      <c r="X1" s="861"/>
      <c r="Y1" s="861"/>
      <c r="Z1" s="861"/>
      <c r="AA1" s="861"/>
      <c r="AB1" s="20"/>
      <c r="AC1" s="20"/>
      <c r="AD1" s="20"/>
    </row>
    <row r="2" spans="1:31">
      <c r="A2" s="961"/>
      <c r="B2" s="961"/>
      <c r="C2" s="961"/>
      <c r="D2" s="961"/>
      <c r="E2" s="961"/>
      <c r="F2" s="961"/>
      <c r="G2" s="961"/>
      <c r="H2" s="961"/>
      <c r="I2" s="961"/>
      <c r="J2" s="961"/>
      <c r="K2" s="961"/>
      <c r="L2" s="961"/>
      <c r="M2" s="961"/>
      <c r="N2" s="961"/>
      <c r="O2" s="961"/>
      <c r="P2" s="961"/>
      <c r="Q2" s="961"/>
      <c r="R2" s="961"/>
      <c r="S2" s="961"/>
      <c r="T2" s="961"/>
      <c r="U2" s="961"/>
      <c r="V2" s="961"/>
      <c r="W2" s="961"/>
      <c r="X2" s="961"/>
      <c r="Y2" s="961"/>
      <c r="Z2" s="961"/>
      <c r="AA2" s="961"/>
      <c r="AB2" s="16"/>
      <c r="AC2" s="16"/>
      <c r="AD2" s="16"/>
    </row>
    <row r="3" spans="1:31">
      <c r="A3" s="19"/>
      <c r="B3" s="19"/>
      <c r="C3" s="938" t="s">
        <v>863</v>
      </c>
      <c r="D3" s="942"/>
      <c r="E3" s="938"/>
      <c r="F3" s="942"/>
      <c r="G3" s="942"/>
      <c r="H3" s="19"/>
      <c r="I3" s="19"/>
      <c r="J3" s="19"/>
      <c r="K3" s="19"/>
      <c r="L3" s="938" t="s">
        <v>864</v>
      </c>
      <c r="M3" s="942"/>
      <c r="N3" s="942"/>
      <c r="O3" s="942"/>
      <c r="P3" s="942"/>
      <c r="Q3" s="19"/>
      <c r="R3" s="19"/>
      <c r="S3" s="19"/>
      <c r="T3" s="19"/>
      <c r="U3" s="938" t="s">
        <v>6</v>
      </c>
      <c r="V3" s="942"/>
      <c r="W3" s="942"/>
      <c r="X3" s="942"/>
      <c r="Y3" s="942"/>
      <c r="Z3" s="942"/>
      <c r="AA3" s="19"/>
      <c r="AB3" s="16"/>
      <c r="AC3" s="16"/>
      <c r="AD3" s="16"/>
    </row>
    <row r="5" spans="1:31" s="694" customFormat="1">
      <c r="A5" s="728"/>
      <c r="B5" s="728"/>
      <c r="C5" s="728" t="s">
        <v>174</v>
      </c>
      <c r="D5" s="728" t="s">
        <v>370</v>
      </c>
      <c r="E5" s="728" t="s">
        <v>829</v>
      </c>
      <c r="F5" s="728" t="s">
        <v>714</v>
      </c>
      <c r="G5" s="728" t="s">
        <v>830</v>
      </c>
      <c r="H5" s="728" t="s">
        <v>716</v>
      </c>
      <c r="I5" s="728" t="s">
        <v>717</v>
      </c>
      <c r="J5" s="728" t="s">
        <v>737</v>
      </c>
      <c r="K5" s="728" t="s">
        <v>738</v>
      </c>
      <c r="L5" s="728" t="s">
        <v>739</v>
      </c>
      <c r="M5" s="728" t="s">
        <v>740</v>
      </c>
      <c r="N5" s="728" t="s">
        <v>808</v>
      </c>
      <c r="O5" s="728" t="s">
        <v>809</v>
      </c>
      <c r="P5" s="729" t="s">
        <v>831</v>
      </c>
      <c r="Q5" s="728" t="s">
        <v>832</v>
      </c>
      <c r="R5" s="730" t="s">
        <v>833</v>
      </c>
      <c r="S5" s="728" t="s">
        <v>834</v>
      </c>
      <c r="T5" s="728" t="s">
        <v>835</v>
      </c>
      <c r="U5" s="728" t="s">
        <v>836</v>
      </c>
      <c r="V5" s="728"/>
      <c r="W5" s="728" t="s">
        <v>865</v>
      </c>
      <c r="X5" s="728"/>
      <c r="Y5" s="728" t="s">
        <v>866</v>
      </c>
      <c r="Z5" s="728"/>
      <c r="AA5" s="728"/>
      <c r="AB5" s="728"/>
      <c r="AC5" s="728"/>
      <c r="AD5" s="728"/>
      <c r="AE5" s="728"/>
    </row>
    <row r="6" spans="1:31" s="700" customFormat="1" ht="41.25" customHeight="1">
      <c r="A6" s="958" t="s">
        <v>43</v>
      </c>
      <c r="B6" s="731"/>
      <c r="C6" s="958" t="s">
        <v>867</v>
      </c>
      <c r="D6" s="958" t="s">
        <v>868</v>
      </c>
      <c r="E6" s="958" t="s">
        <v>869</v>
      </c>
      <c r="F6" s="958" t="s">
        <v>870</v>
      </c>
      <c r="G6" s="958" t="s">
        <v>871</v>
      </c>
      <c r="H6" s="732" t="s">
        <v>839</v>
      </c>
      <c r="I6" s="733" t="s">
        <v>840</v>
      </c>
      <c r="J6" s="733" t="s">
        <v>841</v>
      </c>
      <c r="K6" s="733" t="s">
        <v>842</v>
      </c>
      <c r="L6" s="733" t="s">
        <v>843</v>
      </c>
      <c r="M6" s="733" t="s">
        <v>844</v>
      </c>
      <c r="N6" s="733" t="s">
        <v>845</v>
      </c>
      <c r="O6" s="733" t="s">
        <v>846</v>
      </c>
      <c r="P6" s="733" t="s">
        <v>847</v>
      </c>
      <c r="Q6" s="733" t="s">
        <v>848</v>
      </c>
      <c r="R6" s="733" t="s">
        <v>849</v>
      </c>
      <c r="S6" s="733" t="s">
        <v>850</v>
      </c>
      <c r="T6" s="733" t="s">
        <v>839</v>
      </c>
      <c r="U6" s="958" t="s">
        <v>872</v>
      </c>
      <c r="V6" s="958" t="s">
        <v>852</v>
      </c>
      <c r="W6" s="958" t="s">
        <v>873</v>
      </c>
      <c r="X6" s="958" t="s">
        <v>164</v>
      </c>
      <c r="Y6" s="958" t="s">
        <v>874</v>
      </c>
      <c r="Z6" s="734"/>
      <c r="AA6" s="734"/>
      <c r="AB6" s="734"/>
      <c r="AC6" s="734"/>
      <c r="AD6" s="734"/>
      <c r="AE6" s="734"/>
    </row>
    <row r="7" spans="1:31" s="700" customFormat="1" ht="17.25" customHeight="1">
      <c r="A7" s="959"/>
      <c r="B7" s="735"/>
      <c r="C7" s="959"/>
      <c r="D7" s="959"/>
      <c r="E7" s="959" t="s">
        <v>869</v>
      </c>
      <c r="F7" s="959"/>
      <c r="G7" s="959"/>
      <c r="H7" s="736">
        <v>2021</v>
      </c>
      <c r="I7" s="736">
        <v>2022</v>
      </c>
      <c r="J7" s="736">
        <v>2022</v>
      </c>
      <c r="K7" s="736">
        <v>2022</v>
      </c>
      <c r="L7" s="736">
        <v>2022</v>
      </c>
      <c r="M7" s="736">
        <v>2022</v>
      </c>
      <c r="N7" s="736">
        <v>2022</v>
      </c>
      <c r="O7" s="736">
        <v>2022</v>
      </c>
      <c r="P7" s="736">
        <v>2022</v>
      </c>
      <c r="Q7" s="736">
        <v>2022</v>
      </c>
      <c r="R7" s="736">
        <v>2022</v>
      </c>
      <c r="S7" s="736">
        <v>2022</v>
      </c>
      <c r="T7" s="736">
        <v>2022</v>
      </c>
      <c r="U7" s="959"/>
      <c r="V7" s="959"/>
      <c r="W7" s="959"/>
      <c r="X7" s="959"/>
      <c r="Y7" s="959"/>
      <c r="Z7" s="734"/>
      <c r="AA7" s="734"/>
      <c r="AB7" s="734"/>
      <c r="AC7" s="734"/>
      <c r="AD7" s="734"/>
      <c r="AE7" s="734"/>
    </row>
    <row r="8" spans="1:31">
      <c r="A8" s="737" t="s">
        <v>257</v>
      </c>
      <c r="B8" s="737"/>
      <c r="C8" s="738"/>
      <c r="D8" s="739"/>
      <c r="E8" s="740"/>
      <c r="F8" s="740"/>
      <c r="G8" s="741"/>
      <c r="H8" s="742">
        <v>0</v>
      </c>
      <c r="I8" s="742">
        <v>0</v>
      </c>
      <c r="J8" s="742">
        <v>0</v>
      </c>
      <c r="K8" s="742">
        <v>0</v>
      </c>
      <c r="L8" s="742">
        <v>0</v>
      </c>
      <c r="M8" s="742">
        <v>0</v>
      </c>
      <c r="N8" s="742">
        <v>0</v>
      </c>
      <c r="O8" s="742">
        <v>0</v>
      </c>
      <c r="P8" s="742">
        <v>0</v>
      </c>
      <c r="Q8" s="743">
        <v>0</v>
      </c>
      <c r="R8" s="743">
        <v>0</v>
      </c>
      <c r="S8" s="743">
        <v>0</v>
      </c>
      <c r="T8" s="743">
        <v>0</v>
      </c>
      <c r="U8" s="744">
        <f t="shared" ref="U8:U32" si="0">SUM(H8:T8)/13</f>
        <v>0</v>
      </c>
      <c r="V8" s="745"/>
      <c r="W8" s="746">
        <v>0</v>
      </c>
      <c r="X8" s="745"/>
      <c r="Y8" s="747">
        <f t="shared" ref="Y8:Y32" si="1">U8*W8</f>
        <v>0</v>
      </c>
    </row>
    <row r="9" spans="1:31">
      <c r="A9" s="748" t="s">
        <v>856</v>
      </c>
      <c r="B9" s="748"/>
      <c r="C9" s="738"/>
      <c r="D9" s="738"/>
      <c r="E9" s="749"/>
      <c r="F9" s="749"/>
      <c r="G9" s="741"/>
      <c r="H9" s="750"/>
      <c r="I9" s="750"/>
      <c r="J9" s="750"/>
      <c r="K9" s="750"/>
      <c r="L9" s="750"/>
      <c r="M9" s="750"/>
      <c r="N9" s="750"/>
      <c r="O9" s="750"/>
      <c r="P9" s="750"/>
      <c r="Q9" s="750"/>
      <c r="R9" s="750"/>
      <c r="S9" s="750"/>
      <c r="T9" s="750"/>
      <c r="U9" s="751">
        <f t="shared" si="0"/>
        <v>0</v>
      </c>
      <c r="V9" s="752"/>
      <c r="W9" s="753">
        <v>0</v>
      </c>
      <c r="X9" s="752"/>
      <c r="Y9" s="754">
        <f t="shared" si="1"/>
        <v>0</v>
      </c>
    </row>
    <row r="10" spans="1:31">
      <c r="A10" s="748" t="s">
        <v>857</v>
      </c>
      <c r="B10" s="748"/>
      <c r="C10" s="738"/>
      <c r="D10" s="738"/>
      <c r="E10" s="738"/>
      <c r="F10" s="738"/>
      <c r="G10" s="741"/>
      <c r="H10" s="750"/>
      <c r="I10" s="750"/>
      <c r="J10" s="750"/>
      <c r="K10" s="750"/>
      <c r="L10" s="750"/>
      <c r="M10" s="750"/>
      <c r="N10" s="750"/>
      <c r="O10" s="750"/>
      <c r="P10" s="755"/>
      <c r="Q10" s="750"/>
      <c r="R10" s="756"/>
      <c r="S10" s="750"/>
      <c r="T10" s="755"/>
      <c r="U10" s="751">
        <f t="shared" si="0"/>
        <v>0</v>
      </c>
      <c r="V10" s="752"/>
      <c r="W10" s="753">
        <v>0</v>
      </c>
      <c r="X10" s="752"/>
      <c r="Y10" s="754">
        <f t="shared" si="1"/>
        <v>0</v>
      </c>
    </row>
    <row r="11" spans="1:31">
      <c r="A11" s="748" t="s">
        <v>259</v>
      </c>
      <c r="B11" s="748"/>
      <c r="C11" s="738"/>
      <c r="D11" s="738"/>
      <c r="E11" s="738"/>
      <c r="F11" s="738"/>
      <c r="G11" s="741"/>
      <c r="H11" s="750"/>
      <c r="I11" s="750"/>
      <c r="J11" s="750"/>
      <c r="K11" s="750"/>
      <c r="L11" s="750"/>
      <c r="M11" s="750"/>
      <c r="N11" s="750"/>
      <c r="O11" s="750"/>
      <c r="P11" s="755"/>
      <c r="Q11" s="750"/>
      <c r="R11" s="756"/>
      <c r="S11" s="750"/>
      <c r="T11" s="755"/>
      <c r="U11" s="751">
        <f t="shared" si="0"/>
        <v>0</v>
      </c>
      <c r="V11" s="752"/>
      <c r="W11" s="753">
        <v>0</v>
      </c>
      <c r="X11" s="752"/>
      <c r="Y11" s="754">
        <f t="shared" si="1"/>
        <v>0</v>
      </c>
    </row>
    <row r="12" spans="1:31">
      <c r="A12" s="748" t="s">
        <v>259</v>
      </c>
      <c r="B12" s="748"/>
      <c r="C12" s="738"/>
      <c r="D12" s="738"/>
      <c r="E12" s="738"/>
      <c r="F12" s="738"/>
      <c r="G12" s="741"/>
      <c r="H12" s="750"/>
      <c r="I12" s="750"/>
      <c r="J12" s="750"/>
      <c r="K12" s="750"/>
      <c r="L12" s="750"/>
      <c r="M12" s="750"/>
      <c r="N12" s="750"/>
      <c r="O12" s="750"/>
      <c r="P12" s="755"/>
      <c r="Q12" s="750"/>
      <c r="R12" s="756"/>
      <c r="S12" s="750"/>
      <c r="T12" s="755"/>
      <c r="U12" s="751">
        <f t="shared" si="0"/>
        <v>0</v>
      </c>
      <c r="V12" s="752"/>
      <c r="W12" s="753">
        <v>0</v>
      </c>
      <c r="X12" s="752"/>
      <c r="Y12" s="754">
        <f t="shared" si="1"/>
        <v>0</v>
      </c>
    </row>
    <row r="13" spans="1:31">
      <c r="A13" s="748" t="s">
        <v>259</v>
      </c>
      <c r="B13" s="748"/>
      <c r="C13" s="738"/>
      <c r="D13" s="738"/>
      <c r="E13" s="738"/>
      <c r="F13" s="738"/>
      <c r="G13" s="741"/>
      <c r="H13" s="750"/>
      <c r="I13" s="750"/>
      <c r="J13" s="750"/>
      <c r="K13" s="750"/>
      <c r="L13" s="750"/>
      <c r="M13" s="750"/>
      <c r="N13" s="750"/>
      <c r="O13" s="750"/>
      <c r="P13" s="755"/>
      <c r="Q13" s="750"/>
      <c r="R13" s="756"/>
      <c r="S13" s="750"/>
      <c r="T13" s="755"/>
      <c r="U13" s="751">
        <f t="shared" si="0"/>
        <v>0</v>
      </c>
      <c r="V13" s="752"/>
      <c r="W13" s="753">
        <v>0</v>
      </c>
      <c r="X13" s="752"/>
      <c r="Y13" s="754">
        <f t="shared" si="1"/>
        <v>0</v>
      </c>
    </row>
    <row r="14" spans="1:31">
      <c r="A14" s="748" t="s">
        <v>259</v>
      </c>
      <c r="B14" s="748"/>
      <c r="C14" s="738"/>
      <c r="D14" s="738"/>
      <c r="E14" s="738"/>
      <c r="F14" s="738"/>
      <c r="G14" s="741"/>
      <c r="H14" s="750"/>
      <c r="I14" s="750"/>
      <c r="J14" s="750"/>
      <c r="K14" s="750"/>
      <c r="L14" s="750"/>
      <c r="M14" s="750"/>
      <c r="N14" s="750"/>
      <c r="O14" s="750"/>
      <c r="P14" s="755"/>
      <c r="Q14" s="750"/>
      <c r="R14" s="756"/>
      <c r="S14" s="750"/>
      <c r="T14" s="755"/>
      <c r="U14" s="751">
        <f t="shared" si="0"/>
        <v>0</v>
      </c>
      <c r="V14" s="752"/>
      <c r="W14" s="753">
        <v>0</v>
      </c>
      <c r="X14" s="752"/>
      <c r="Y14" s="754">
        <f t="shared" si="1"/>
        <v>0</v>
      </c>
    </row>
    <row r="15" spans="1:31">
      <c r="A15" s="748" t="s">
        <v>259</v>
      </c>
      <c r="B15" s="748"/>
      <c r="C15" s="738"/>
      <c r="D15" s="738"/>
      <c r="E15" s="738"/>
      <c r="F15" s="738"/>
      <c r="G15" s="741"/>
      <c r="H15" s="750"/>
      <c r="I15" s="750"/>
      <c r="J15" s="750"/>
      <c r="K15" s="750"/>
      <c r="L15" s="750"/>
      <c r="M15" s="750"/>
      <c r="N15" s="750"/>
      <c r="O15" s="750"/>
      <c r="P15" s="755"/>
      <c r="Q15" s="750"/>
      <c r="R15" s="756"/>
      <c r="S15" s="750"/>
      <c r="T15" s="755"/>
      <c r="U15" s="751">
        <f t="shared" si="0"/>
        <v>0</v>
      </c>
      <c r="V15" s="752"/>
      <c r="W15" s="753">
        <v>0</v>
      </c>
      <c r="X15" s="752"/>
      <c r="Y15" s="754">
        <f t="shared" si="1"/>
        <v>0</v>
      </c>
    </row>
    <row r="16" spans="1:31">
      <c r="A16" s="748" t="s">
        <v>259</v>
      </c>
      <c r="B16" s="748"/>
      <c r="C16" s="738"/>
      <c r="D16" s="738"/>
      <c r="E16" s="738"/>
      <c r="F16" s="738"/>
      <c r="G16" s="741"/>
      <c r="H16" s="750"/>
      <c r="I16" s="750"/>
      <c r="J16" s="750"/>
      <c r="K16" s="750"/>
      <c r="L16" s="750"/>
      <c r="M16" s="750"/>
      <c r="N16" s="750"/>
      <c r="O16" s="750"/>
      <c r="P16" s="755"/>
      <c r="Q16" s="750"/>
      <c r="R16" s="756"/>
      <c r="S16" s="750"/>
      <c r="T16" s="755"/>
      <c r="U16" s="751">
        <f t="shared" si="0"/>
        <v>0</v>
      </c>
      <c r="V16" s="752"/>
      <c r="W16" s="753">
        <v>0</v>
      </c>
      <c r="X16" s="752"/>
      <c r="Y16" s="754">
        <f t="shared" si="1"/>
        <v>0</v>
      </c>
    </row>
    <row r="17" spans="1:25">
      <c r="A17" s="748" t="s">
        <v>259</v>
      </c>
      <c r="B17" s="748"/>
      <c r="C17" s="738"/>
      <c r="D17" s="738"/>
      <c r="E17" s="738"/>
      <c r="F17" s="738"/>
      <c r="G17" s="741"/>
      <c r="H17" s="750"/>
      <c r="I17" s="750"/>
      <c r="J17" s="750"/>
      <c r="K17" s="750"/>
      <c r="L17" s="750"/>
      <c r="M17" s="750"/>
      <c r="N17" s="750"/>
      <c r="O17" s="750"/>
      <c r="P17" s="755"/>
      <c r="Q17" s="750"/>
      <c r="R17" s="756"/>
      <c r="S17" s="750"/>
      <c r="T17" s="755"/>
      <c r="U17" s="751">
        <f t="shared" si="0"/>
        <v>0</v>
      </c>
      <c r="V17" s="752"/>
      <c r="W17" s="753">
        <v>0</v>
      </c>
      <c r="X17" s="752"/>
      <c r="Y17" s="754">
        <f t="shared" si="1"/>
        <v>0</v>
      </c>
    </row>
    <row r="18" spans="1:25">
      <c r="A18" s="748" t="s">
        <v>259</v>
      </c>
      <c r="B18" s="748"/>
      <c r="C18" s="738"/>
      <c r="D18" s="738"/>
      <c r="E18" s="738"/>
      <c r="F18" s="738"/>
      <c r="G18" s="741"/>
      <c r="H18" s="750"/>
      <c r="I18" s="750"/>
      <c r="J18" s="750"/>
      <c r="K18" s="750"/>
      <c r="L18" s="750"/>
      <c r="M18" s="750"/>
      <c r="N18" s="750"/>
      <c r="O18" s="750"/>
      <c r="P18" s="755"/>
      <c r="Q18" s="750"/>
      <c r="R18" s="756"/>
      <c r="S18" s="750"/>
      <c r="T18" s="755"/>
      <c r="U18" s="751">
        <f t="shared" si="0"/>
        <v>0</v>
      </c>
      <c r="V18" s="752"/>
      <c r="W18" s="753">
        <v>0</v>
      </c>
      <c r="X18" s="752"/>
      <c r="Y18" s="754">
        <f t="shared" si="1"/>
        <v>0</v>
      </c>
    </row>
    <row r="19" spans="1:25">
      <c r="A19" s="748" t="s">
        <v>259</v>
      </c>
      <c r="B19" s="748"/>
      <c r="C19" s="738"/>
      <c r="D19" s="738"/>
      <c r="E19" s="738"/>
      <c r="F19" s="738"/>
      <c r="G19" s="741"/>
      <c r="H19" s="750"/>
      <c r="I19" s="750"/>
      <c r="J19" s="750"/>
      <c r="K19" s="750"/>
      <c r="L19" s="750"/>
      <c r="M19" s="750"/>
      <c r="N19" s="750"/>
      <c r="O19" s="750"/>
      <c r="P19" s="755"/>
      <c r="Q19" s="750"/>
      <c r="R19" s="756"/>
      <c r="S19" s="750"/>
      <c r="T19" s="755"/>
      <c r="U19" s="751">
        <f t="shared" si="0"/>
        <v>0</v>
      </c>
      <c r="V19" s="752"/>
      <c r="W19" s="753">
        <v>0</v>
      </c>
      <c r="X19" s="752"/>
      <c r="Y19" s="754">
        <f t="shared" si="1"/>
        <v>0</v>
      </c>
    </row>
    <row r="20" spans="1:25">
      <c r="A20" s="748" t="s">
        <v>259</v>
      </c>
      <c r="B20" s="748"/>
      <c r="C20" s="738"/>
      <c r="D20" s="738"/>
      <c r="E20" s="738"/>
      <c r="F20" s="738"/>
      <c r="G20" s="741"/>
      <c r="H20" s="750"/>
      <c r="I20" s="750"/>
      <c r="J20" s="750"/>
      <c r="K20" s="750"/>
      <c r="L20" s="750"/>
      <c r="M20" s="750"/>
      <c r="N20" s="750"/>
      <c r="O20" s="750"/>
      <c r="P20" s="755"/>
      <c r="Q20" s="750"/>
      <c r="R20" s="756"/>
      <c r="S20" s="750"/>
      <c r="T20" s="755"/>
      <c r="U20" s="751">
        <f t="shared" si="0"/>
        <v>0</v>
      </c>
      <c r="V20" s="752"/>
      <c r="W20" s="753">
        <v>0</v>
      </c>
      <c r="X20" s="752"/>
      <c r="Y20" s="754">
        <f t="shared" si="1"/>
        <v>0</v>
      </c>
    </row>
    <row r="21" spans="1:25">
      <c r="A21" s="748" t="s">
        <v>259</v>
      </c>
      <c r="B21" s="748"/>
      <c r="C21" s="738"/>
      <c r="D21" s="738"/>
      <c r="E21" s="738"/>
      <c r="F21" s="738"/>
      <c r="G21" s="741"/>
      <c r="H21" s="750"/>
      <c r="I21" s="750"/>
      <c r="J21" s="750"/>
      <c r="K21" s="750"/>
      <c r="L21" s="750"/>
      <c r="M21" s="750"/>
      <c r="N21" s="750"/>
      <c r="O21" s="750"/>
      <c r="P21" s="755"/>
      <c r="Q21" s="750"/>
      <c r="R21" s="756"/>
      <c r="S21" s="750"/>
      <c r="T21" s="755"/>
      <c r="U21" s="751">
        <f t="shared" si="0"/>
        <v>0</v>
      </c>
      <c r="V21" s="752"/>
      <c r="W21" s="753">
        <v>0</v>
      </c>
      <c r="X21" s="752"/>
      <c r="Y21" s="754">
        <f t="shared" si="1"/>
        <v>0</v>
      </c>
    </row>
    <row r="22" spans="1:25">
      <c r="A22" s="748" t="s">
        <v>259</v>
      </c>
      <c r="B22" s="748"/>
      <c r="C22" s="738"/>
      <c r="D22" s="738"/>
      <c r="E22" s="738"/>
      <c r="F22" s="738"/>
      <c r="G22" s="741"/>
      <c r="H22" s="750"/>
      <c r="I22" s="750"/>
      <c r="J22" s="750"/>
      <c r="K22" s="750"/>
      <c r="L22" s="750"/>
      <c r="M22" s="750"/>
      <c r="N22" s="750"/>
      <c r="O22" s="750"/>
      <c r="P22" s="755"/>
      <c r="Q22" s="750"/>
      <c r="R22" s="756"/>
      <c r="S22" s="750"/>
      <c r="T22" s="755"/>
      <c r="U22" s="751">
        <f t="shared" si="0"/>
        <v>0</v>
      </c>
      <c r="V22" s="752"/>
      <c r="W22" s="753">
        <v>0</v>
      </c>
      <c r="X22" s="752"/>
      <c r="Y22" s="754">
        <f t="shared" si="1"/>
        <v>0</v>
      </c>
    </row>
    <row r="23" spans="1:25">
      <c r="A23" s="748" t="s">
        <v>259</v>
      </c>
      <c r="B23" s="748"/>
      <c r="C23" s="738"/>
      <c r="D23" s="738"/>
      <c r="E23" s="738"/>
      <c r="F23" s="738"/>
      <c r="G23" s="741"/>
      <c r="H23" s="750"/>
      <c r="I23" s="750"/>
      <c r="J23" s="750"/>
      <c r="K23" s="750"/>
      <c r="L23" s="750"/>
      <c r="M23" s="750"/>
      <c r="N23" s="750"/>
      <c r="O23" s="750"/>
      <c r="P23" s="755"/>
      <c r="Q23" s="750"/>
      <c r="R23" s="756"/>
      <c r="S23" s="750"/>
      <c r="T23" s="755"/>
      <c r="U23" s="751">
        <f t="shared" si="0"/>
        <v>0</v>
      </c>
      <c r="V23" s="752"/>
      <c r="W23" s="753">
        <v>0</v>
      </c>
      <c r="X23" s="752"/>
      <c r="Y23" s="754">
        <f t="shared" si="1"/>
        <v>0</v>
      </c>
    </row>
    <row r="24" spans="1:25">
      <c r="A24" s="748" t="s">
        <v>259</v>
      </c>
      <c r="B24" s="748"/>
      <c r="C24" s="738"/>
      <c r="D24" s="738"/>
      <c r="E24" s="738"/>
      <c r="F24" s="738"/>
      <c r="G24" s="741"/>
      <c r="H24" s="750"/>
      <c r="I24" s="750"/>
      <c r="J24" s="750"/>
      <c r="K24" s="750"/>
      <c r="L24" s="750"/>
      <c r="M24" s="750"/>
      <c r="N24" s="750"/>
      <c r="O24" s="750"/>
      <c r="P24" s="755"/>
      <c r="Q24" s="750"/>
      <c r="R24" s="756"/>
      <c r="S24" s="750"/>
      <c r="T24" s="755"/>
      <c r="U24" s="751">
        <f t="shared" si="0"/>
        <v>0</v>
      </c>
      <c r="V24" s="752"/>
      <c r="W24" s="753">
        <v>0</v>
      </c>
      <c r="X24" s="752"/>
      <c r="Y24" s="754">
        <f t="shared" si="1"/>
        <v>0</v>
      </c>
    </row>
    <row r="25" spans="1:25">
      <c r="A25" s="748" t="s">
        <v>259</v>
      </c>
      <c r="B25" s="748"/>
      <c r="C25" s="738"/>
      <c r="D25" s="738"/>
      <c r="E25" s="738"/>
      <c r="F25" s="738"/>
      <c r="G25" s="741"/>
      <c r="H25" s="750"/>
      <c r="I25" s="750"/>
      <c r="J25" s="750"/>
      <c r="K25" s="750"/>
      <c r="L25" s="750"/>
      <c r="M25" s="750"/>
      <c r="N25" s="750"/>
      <c r="O25" s="750"/>
      <c r="P25" s="755"/>
      <c r="Q25" s="750"/>
      <c r="R25" s="756"/>
      <c r="S25" s="750"/>
      <c r="T25" s="755"/>
      <c r="U25" s="751">
        <f t="shared" si="0"/>
        <v>0</v>
      </c>
      <c r="V25" s="748"/>
      <c r="W25" s="753">
        <v>0</v>
      </c>
      <c r="X25" s="748"/>
      <c r="Y25" s="754">
        <f t="shared" si="1"/>
        <v>0</v>
      </c>
    </row>
    <row r="26" spans="1:25">
      <c r="A26" s="748" t="s">
        <v>259</v>
      </c>
      <c r="B26" s="748"/>
      <c r="C26" s="738"/>
      <c r="D26" s="738"/>
      <c r="E26" s="738"/>
      <c r="F26" s="738"/>
      <c r="G26" s="741"/>
      <c r="H26" s="750"/>
      <c r="I26" s="750"/>
      <c r="J26" s="750"/>
      <c r="K26" s="750"/>
      <c r="L26" s="750"/>
      <c r="M26" s="750"/>
      <c r="N26" s="750"/>
      <c r="O26" s="750"/>
      <c r="P26" s="755"/>
      <c r="Q26" s="750"/>
      <c r="R26" s="756"/>
      <c r="S26" s="750"/>
      <c r="T26" s="755"/>
      <c r="U26" s="751">
        <f t="shared" si="0"/>
        <v>0</v>
      </c>
      <c r="V26" s="748"/>
      <c r="W26" s="753">
        <v>0</v>
      </c>
      <c r="X26" s="748"/>
      <c r="Y26" s="754">
        <f t="shared" si="1"/>
        <v>0</v>
      </c>
    </row>
    <row r="27" spans="1:25">
      <c r="A27" s="748" t="s">
        <v>259</v>
      </c>
      <c r="B27" s="748"/>
      <c r="C27" s="738"/>
      <c r="D27" s="738"/>
      <c r="E27" s="738"/>
      <c r="F27" s="738"/>
      <c r="G27" s="741"/>
      <c r="H27" s="750"/>
      <c r="I27" s="750"/>
      <c r="J27" s="750"/>
      <c r="K27" s="750"/>
      <c r="L27" s="750"/>
      <c r="M27" s="750"/>
      <c r="N27" s="750"/>
      <c r="O27" s="750"/>
      <c r="P27" s="755"/>
      <c r="Q27" s="750"/>
      <c r="R27" s="756"/>
      <c r="S27" s="750"/>
      <c r="T27" s="755"/>
      <c r="U27" s="751">
        <f t="shared" si="0"/>
        <v>0</v>
      </c>
      <c r="V27" s="748"/>
      <c r="W27" s="753">
        <v>0</v>
      </c>
      <c r="X27" s="748"/>
      <c r="Y27" s="754">
        <f t="shared" si="1"/>
        <v>0</v>
      </c>
    </row>
    <row r="28" spans="1:25">
      <c r="A28" s="748" t="s">
        <v>259</v>
      </c>
      <c r="B28" s="748"/>
      <c r="C28" s="738"/>
      <c r="D28" s="738"/>
      <c r="E28" s="738"/>
      <c r="F28" s="738"/>
      <c r="G28" s="741"/>
      <c r="H28" s="750"/>
      <c r="I28" s="750"/>
      <c r="J28" s="750"/>
      <c r="K28" s="750"/>
      <c r="L28" s="750"/>
      <c r="M28" s="750"/>
      <c r="N28" s="750"/>
      <c r="O28" s="750"/>
      <c r="P28" s="755"/>
      <c r="Q28" s="750"/>
      <c r="R28" s="756"/>
      <c r="S28" s="750"/>
      <c r="T28" s="755"/>
      <c r="U28" s="751">
        <f t="shared" si="0"/>
        <v>0</v>
      </c>
      <c r="V28" s="748"/>
      <c r="W28" s="753">
        <v>0</v>
      </c>
      <c r="X28" s="748"/>
      <c r="Y28" s="754">
        <f t="shared" si="1"/>
        <v>0</v>
      </c>
    </row>
    <row r="29" spans="1:25">
      <c r="A29" s="748" t="s">
        <v>259</v>
      </c>
      <c r="B29" s="748"/>
      <c r="C29" s="738"/>
      <c r="D29" s="738"/>
      <c r="E29" s="738"/>
      <c r="F29" s="738"/>
      <c r="G29" s="741"/>
      <c r="H29" s="750"/>
      <c r="I29" s="750"/>
      <c r="J29" s="750"/>
      <c r="K29" s="750"/>
      <c r="L29" s="750"/>
      <c r="M29" s="750"/>
      <c r="N29" s="750"/>
      <c r="O29" s="750"/>
      <c r="P29" s="755"/>
      <c r="Q29" s="750"/>
      <c r="R29" s="756"/>
      <c r="S29" s="750"/>
      <c r="T29" s="755"/>
      <c r="U29" s="751">
        <f t="shared" si="0"/>
        <v>0</v>
      </c>
      <c r="V29" s="748"/>
      <c r="W29" s="753">
        <v>0</v>
      </c>
      <c r="X29" s="748"/>
      <c r="Y29" s="754">
        <f t="shared" si="1"/>
        <v>0</v>
      </c>
    </row>
    <row r="30" spans="1:25">
      <c r="A30" s="748" t="s">
        <v>259</v>
      </c>
      <c r="B30" s="748"/>
      <c r="C30" s="738"/>
      <c r="D30" s="738"/>
      <c r="E30" s="738"/>
      <c r="F30" s="738"/>
      <c r="G30" s="741"/>
      <c r="H30" s="750"/>
      <c r="I30" s="750"/>
      <c r="J30" s="750"/>
      <c r="K30" s="750"/>
      <c r="L30" s="750"/>
      <c r="M30" s="750"/>
      <c r="N30" s="750"/>
      <c r="O30" s="750"/>
      <c r="P30" s="755"/>
      <c r="Q30" s="750"/>
      <c r="R30" s="756"/>
      <c r="S30" s="750"/>
      <c r="T30" s="755"/>
      <c r="U30" s="751">
        <f t="shared" si="0"/>
        <v>0</v>
      </c>
      <c r="V30" s="748"/>
      <c r="W30" s="753">
        <v>0</v>
      </c>
      <c r="X30" s="748"/>
      <c r="Y30" s="754">
        <f t="shared" si="1"/>
        <v>0</v>
      </c>
    </row>
    <row r="31" spans="1:25">
      <c r="A31" s="748" t="s">
        <v>259</v>
      </c>
      <c r="B31" s="748"/>
      <c r="C31" s="738"/>
      <c r="D31" s="738"/>
      <c r="E31" s="738"/>
      <c r="F31" s="738"/>
      <c r="G31" s="741"/>
      <c r="H31" s="750"/>
      <c r="I31" s="750"/>
      <c r="J31" s="750"/>
      <c r="K31" s="750"/>
      <c r="L31" s="750"/>
      <c r="M31" s="750"/>
      <c r="N31" s="750"/>
      <c r="O31" s="750"/>
      <c r="P31" s="755"/>
      <c r="Q31" s="750"/>
      <c r="R31" s="756"/>
      <c r="S31" s="750"/>
      <c r="T31" s="755"/>
      <c r="U31" s="751">
        <f t="shared" si="0"/>
        <v>0</v>
      </c>
      <c r="V31" s="748"/>
      <c r="W31" s="753">
        <v>0</v>
      </c>
      <c r="X31" s="748"/>
      <c r="Y31" s="754">
        <f t="shared" si="1"/>
        <v>0</v>
      </c>
    </row>
    <row r="32" spans="1:25">
      <c r="A32" s="748" t="s">
        <v>261</v>
      </c>
      <c r="B32" s="748"/>
      <c r="C32" s="738"/>
      <c r="D32" s="738"/>
      <c r="E32" s="738"/>
      <c r="F32" s="738"/>
      <c r="G32" s="741"/>
      <c r="H32" s="750"/>
      <c r="I32" s="750"/>
      <c r="J32" s="750"/>
      <c r="K32" s="750"/>
      <c r="L32" s="750"/>
      <c r="M32" s="750"/>
      <c r="N32" s="750"/>
      <c r="O32" s="750"/>
      <c r="P32" s="755"/>
      <c r="Q32" s="750"/>
      <c r="R32" s="756"/>
      <c r="S32" s="750"/>
      <c r="T32" s="755"/>
      <c r="U32" s="751">
        <f t="shared" si="0"/>
        <v>0</v>
      </c>
      <c r="V32" s="748"/>
      <c r="W32" s="753">
        <v>0</v>
      </c>
      <c r="X32" s="748"/>
      <c r="Y32" s="757">
        <f t="shared" si="1"/>
        <v>0</v>
      </c>
    </row>
    <row r="33" spans="1:31" s="719" customFormat="1">
      <c r="A33" s="758">
        <v>2</v>
      </c>
      <c r="B33" s="758"/>
      <c r="C33" s="759"/>
      <c r="D33" s="759"/>
      <c r="E33" s="759"/>
      <c r="F33" s="759"/>
      <c r="G33" s="759"/>
      <c r="H33" s="759"/>
      <c r="I33" s="759"/>
      <c r="J33" s="759"/>
      <c r="K33" s="759"/>
      <c r="L33" s="759"/>
      <c r="M33" s="759"/>
      <c r="N33" s="759"/>
      <c r="O33" s="759"/>
      <c r="P33" s="759"/>
      <c r="Q33" s="758"/>
      <c r="R33" s="758"/>
      <c r="S33" s="760"/>
      <c r="T33" s="760"/>
      <c r="U33" s="960" t="s">
        <v>875</v>
      </c>
      <c r="V33" s="960"/>
      <c r="W33" s="960"/>
      <c r="X33" s="761"/>
      <c r="Y33" s="762">
        <f>SUM(Y8:Y32)</f>
        <v>0</v>
      </c>
      <c r="Z33" s="759"/>
      <c r="AA33" s="759"/>
      <c r="AB33" s="759"/>
      <c r="AC33" s="759"/>
      <c r="AD33" s="759"/>
      <c r="AE33" s="759"/>
    </row>
    <row r="34" spans="1:31">
      <c r="V34" s="956"/>
      <c r="W34" s="956"/>
      <c r="X34" s="956"/>
    </row>
    <row r="35" spans="1:31" ht="21.75" customHeight="1">
      <c r="H35" s="759" t="s">
        <v>876</v>
      </c>
      <c r="I35" s="759"/>
      <c r="J35" s="759"/>
      <c r="K35" s="759"/>
      <c r="L35" s="759"/>
      <c r="M35" s="759"/>
      <c r="N35" s="759"/>
      <c r="O35" s="758"/>
      <c r="X35" s="727"/>
    </row>
    <row r="36" spans="1:31" ht="19.5" customHeight="1">
      <c r="A36" s="766"/>
      <c r="B36" s="767"/>
      <c r="C36" s="957"/>
      <c r="D36" s="957"/>
      <c r="E36" s="957"/>
      <c r="F36" s="957"/>
      <c r="G36" s="957"/>
      <c r="H36" s="768" t="s">
        <v>39</v>
      </c>
      <c r="I36" s="727" t="s">
        <v>877</v>
      </c>
      <c r="R36" s="769"/>
      <c r="S36" s="769"/>
      <c r="T36" s="769"/>
      <c r="X36" s="727"/>
    </row>
    <row r="37" spans="1:31" ht="11.25" customHeight="1">
      <c r="A37" s="766"/>
      <c r="B37" s="766"/>
      <c r="C37" s="957"/>
      <c r="D37" s="957"/>
      <c r="E37" s="957"/>
      <c r="F37" s="957"/>
      <c r="G37" s="957"/>
      <c r="H37" s="770"/>
      <c r="I37" s="770"/>
      <c r="J37" s="769"/>
      <c r="K37" s="769"/>
      <c r="L37" s="769"/>
      <c r="M37" s="769"/>
      <c r="N37" s="769"/>
      <c r="O37" s="771"/>
      <c r="P37" s="771"/>
      <c r="Q37" s="771"/>
      <c r="R37" s="771"/>
      <c r="S37" s="771"/>
      <c r="T37" s="771"/>
      <c r="V37" s="727"/>
      <c r="X37" s="727"/>
    </row>
    <row r="38" spans="1:31" ht="11.25" customHeight="1">
      <c r="A38" s="766"/>
      <c r="B38" s="766"/>
      <c r="C38" s="957"/>
      <c r="D38" s="957"/>
      <c r="E38" s="957"/>
      <c r="F38" s="957"/>
      <c r="G38" s="957"/>
      <c r="H38" s="770"/>
      <c r="I38" s="770"/>
      <c r="J38" s="771"/>
      <c r="K38" s="771"/>
      <c r="L38" s="771"/>
      <c r="M38" s="771"/>
      <c r="N38" s="771"/>
      <c r="O38" s="772"/>
      <c r="P38" s="772"/>
      <c r="Q38" s="772"/>
      <c r="R38" s="772"/>
      <c r="S38" s="772"/>
      <c r="T38" s="772"/>
      <c r="V38" s="727"/>
      <c r="X38" s="727"/>
    </row>
    <row r="39" spans="1:31">
      <c r="A39" s="766"/>
      <c r="B39" s="766"/>
      <c r="H39" s="772"/>
      <c r="I39" s="772"/>
      <c r="J39" s="772"/>
      <c r="K39" s="772"/>
      <c r="L39" s="772"/>
      <c r="M39" s="772"/>
      <c r="N39" s="772"/>
      <c r="V39" s="727"/>
      <c r="X39" s="727"/>
    </row>
    <row r="40" spans="1:31">
      <c r="A40" s="766"/>
      <c r="B40" s="766"/>
      <c r="V40" s="758"/>
      <c r="X40" s="727"/>
    </row>
    <row r="41" spans="1:31">
      <c r="A41" s="766"/>
      <c r="B41" s="766"/>
      <c r="C41" s="743"/>
      <c r="D41" s="743"/>
      <c r="E41" s="743"/>
      <c r="F41" s="743"/>
      <c r="V41" s="727"/>
    </row>
    <row r="42" spans="1:31">
      <c r="A42" s="766"/>
      <c r="B42" s="766"/>
      <c r="S42" s="759"/>
      <c r="T42" s="759"/>
      <c r="U42" s="763"/>
      <c r="V42" s="727"/>
    </row>
    <row r="43" spans="1:31">
      <c r="A43" s="766"/>
      <c r="B43" s="766"/>
      <c r="S43" s="759"/>
      <c r="T43" s="759"/>
      <c r="U43" s="763"/>
      <c r="V43" s="727"/>
    </row>
    <row r="44" spans="1:31">
      <c r="A44" s="766"/>
      <c r="B44" s="766"/>
      <c r="S44" s="759"/>
      <c r="T44" s="759"/>
      <c r="U44" s="763"/>
      <c r="V44" s="727"/>
    </row>
    <row r="45" spans="1:31">
      <c r="A45" s="766"/>
      <c r="B45" s="766"/>
      <c r="S45" s="759"/>
      <c r="T45" s="759"/>
      <c r="U45" s="763"/>
    </row>
    <row r="46" spans="1:31">
      <c r="A46" s="766"/>
      <c r="B46" s="766"/>
      <c r="S46" s="759"/>
      <c r="T46" s="759"/>
      <c r="U46" s="763"/>
    </row>
    <row r="47" spans="1:31">
      <c r="A47" s="766"/>
      <c r="B47" s="766"/>
    </row>
  </sheetData>
  <mergeCells count="24">
    <mergeCell ref="A1:G1"/>
    <mergeCell ref="H1:T1"/>
    <mergeCell ref="U1:AA1"/>
    <mergeCell ref="A2:G2"/>
    <mergeCell ref="H2:T2"/>
    <mergeCell ref="U2:AA2"/>
    <mergeCell ref="A6:A7"/>
    <mergeCell ref="C6:C7"/>
    <mergeCell ref="D6:D7"/>
    <mergeCell ref="E6:E7"/>
    <mergeCell ref="F6:F7"/>
    <mergeCell ref="Y6:Y7"/>
    <mergeCell ref="U33:W33"/>
    <mergeCell ref="C3:D3"/>
    <mergeCell ref="E3:G3"/>
    <mergeCell ref="L3:P3"/>
    <mergeCell ref="U3:Z3"/>
    <mergeCell ref="G6:G7"/>
    <mergeCell ref="V34:X34"/>
    <mergeCell ref="C36:G38"/>
    <mergeCell ref="U6:U7"/>
    <mergeCell ref="V6:V7"/>
    <mergeCell ref="W6:W7"/>
    <mergeCell ref="X6:X7"/>
  </mergeCells>
  <pageMargins left="0.7" right="0.7" top="0.75" bottom="0.75" header="0.3" footer="0.3"/>
  <pageSetup scale="42" orientation="landscape" r:id="rId1"/>
  <headerFooter>
    <oddFooter>&amp;RPage &amp;P of &amp;N</oddFooter>
  </headerFooter>
  <colBreaks count="2" manualBreakCount="2">
    <brk id="7" max="35" man="1"/>
    <brk id="20" max="35" man="1"/>
  </colBreaks>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732DD-21C9-4C8D-8A5D-F7C9441DDDDD}">
  <sheetPr>
    <tabColor rgb="FF92D050"/>
  </sheetPr>
  <dimension ref="A2:G77"/>
  <sheetViews>
    <sheetView view="pageBreakPreview" topLeftCell="A19" zoomScaleNormal="100" zoomScaleSheetLayoutView="100" workbookViewId="0">
      <selection activeCell="C41" sqref="C41:F44"/>
    </sheetView>
  </sheetViews>
  <sheetFormatPr defaultRowHeight="15.6"/>
  <cols>
    <col min="1" max="1" width="6.54296875" style="73" customWidth="1"/>
    <col min="2" max="2" width="2.81640625" style="73" customWidth="1"/>
    <col min="3" max="3" width="7.54296875" style="20" customWidth="1"/>
    <col min="4" max="4" width="50.90625" style="20" customWidth="1"/>
    <col min="5" max="5" width="8.90625" style="20" bestFit="1" customWidth="1"/>
    <col min="6" max="6" width="25" style="20" customWidth="1"/>
  </cols>
  <sheetData>
    <row r="2" spans="1:7">
      <c r="C2" s="861" t="s">
        <v>878</v>
      </c>
      <c r="D2" s="861"/>
      <c r="E2" s="861"/>
      <c r="F2" s="861"/>
    </row>
    <row r="3" spans="1:7">
      <c r="C3" s="961"/>
      <c r="D3" s="961"/>
      <c r="E3" s="961"/>
      <c r="F3" s="961"/>
    </row>
    <row r="4" spans="1:7">
      <c r="C4" s="938" t="s">
        <v>6</v>
      </c>
      <c r="D4" s="942"/>
      <c r="E4" s="942"/>
      <c r="F4" s="942"/>
    </row>
    <row r="7" spans="1:7">
      <c r="G7" s="773"/>
    </row>
    <row r="8" spans="1:7">
      <c r="A8" s="73" t="s">
        <v>41</v>
      </c>
      <c r="C8" s="20" t="s">
        <v>879</v>
      </c>
      <c r="D8" s="20" t="s">
        <v>880</v>
      </c>
      <c r="F8" s="20" t="s">
        <v>881</v>
      </c>
      <c r="G8" s="431"/>
    </row>
    <row r="9" spans="1:7">
      <c r="C9" s="774" t="s">
        <v>882</v>
      </c>
      <c r="G9" s="431"/>
    </row>
    <row r="10" spans="1:7">
      <c r="A10" s="73">
        <v>1</v>
      </c>
      <c r="C10" s="775" t="s">
        <v>883</v>
      </c>
      <c r="D10" s="20" t="s">
        <v>884</v>
      </c>
      <c r="F10" s="776">
        <v>0</v>
      </c>
      <c r="G10" s="777"/>
    </row>
    <row r="11" spans="1:7">
      <c r="A11" s="73">
        <f>+A10+1</f>
        <v>2</v>
      </c>
      <c r="C11" s="775" t="s">
        <v>885</v>
      </c>
      <c r="D11" s="20" t="s">
        <v>886</v>
      </c>
      <c r="F11" s="776">
        <v>1.3300000000000001E-2</v>
      </c>
      <c r="G11" s="777"/>
    </row>
    <row r="12" spans="1:7">
      <c r="A12" s="73">
        <f>+A10+1</f>
        <v>2</v>
      </c>
      <c r="C12" s="775" t="s">
        <v>887</v>
      </c>
      <c r="D12" s="20" t="s">
        <v>888</v>
      </c>
      <c r="F12" s="776">
        <v>3.3599999999999998E-2</v>
      </c>
      <c r="G12" s="777"/>
    </row>
    <row r="13" spans="1:7">
      <c r="A13" s="73">
        <f t="shared" ref="A13:A14" si="0">+A12+1</f>
        <v>3</v>
      </c>
      <c r="C13" s="775" t="s">
        <v>889</v>
      </c>
      <c r="D13" s="20" t="s">
        <v>890</v>
      </c>
      <c r="F13" s="776">
        <v>2.92E-2</v>
      </c>
      <c r="G13" s="777"/>
    </row>
    <row r="14" spans="1:7">
      <c r="A14" s="73">
        <f t="shared" si="0"/>
        <v>4</v>
      </c>
      <c r="C14" s="775" t="s">
        <v>891</v>
      </c>
      <c r="D14" s="20" t="s">
        <v>892</v>
      </c>
      <c r="F14" s="776">
        <v>0</v>
      </c>
      <c r="G14" s="777"/>
    </row>
    <row r="15" spans="1:7">
      <c r="A15" s="73">
        <f>+A14+1</f>
        <v>5</v>
      </c>
      <c r="C15" s="775" t="s">
        <v>893</v>
      </c>
      <c r="D15" s="20" t="s">
        <v>894</v>
      </c>
      <c r="F15" s="776">
        <v>2.0499999999999997E-2</v>
      </c>
      <c r="G15" s="777"/>
    </row>
    <row r="16" spans="1:7">
      <c r="A16" s="73">
        <f t="shared" ref="A16:A38" si="1">+A15+1</f>
        <v>6</v>
      </c>
      <c r="C16" s="775" t="s">
        <v>895</v>
      </c>
      <c r="D16" s="20" t="s">
        <v>896</v>
      </c>
      <c r="F16" s="776">
        <v>3.1E-2</v>
      </c>
      <c r="G16" s="777"/>
    </row>
    <row r="17" spans="1:7">
      <c r="A17" s="73">
        <f t="shared" si="1"/>
        <v>7</v>
      </c>
      <c r="C17" s="775" t="s">
        <v>897</v>
      </c>
      <c r="D17" s="20" t="s">
        <v>898</v>
      </c>
      <c r="F17" s="776">
        <v>1.1599999999999999E-2</v>
      </c>
      <c r="G17" s="777"/>
    </row>
    <row r="18" spans="1:7">
      <c r="A18" s="73">
        <f t="shared" si="1"/>
        <v>8</v>
      </c>
      <c r="C18" s="775" t="s">
        <v>899</v>
      </c>
      <c r="D18" s="20" t="s">
        <v>900</v>
      </c>
      <c r="F18" s="776">
        <v>1.61E-2</v>
      </c>
      <c r="G18" s="777"/>
    </row>
    <row r="19" spans="1:7">
      <c r="A19" s="73">
        <f t="shared" si="1"/>
        <v>9</v>
      </c>
      <c r="C19" s="775" t="s">
        <v>901</v>
      </c>
      <c r="D19" s="20" t="s">
        <v>902</v>
      </c>
      <c r="F19" s="776">
        <v>0</v>
      </c>
      <c r="G19" s="777"/>
    </row>
    <row r="20" spans="1:7">
      <c r="F20" s="776"/>
      <c r="G20" s="777"/>
    </row>
    <row r="21" spans="1:7">
      <c r="C21" s="775" t="s">
        <v>903</v>
      </c>
      <c r="F21" s="776"/>
      <c r="G21" s="777"/>
    </row>
    <row r="22" spans="1:7">
      <c r="A22" s="73">
        <f>+A19+1</f>
        <v>10</v>
      </c>
      <c r="C22" s="775" t="s">
        <v>904</v>
      </c>
      <c r="D22" s="20" t="s">
        <v>905</v>
      </c>
      <c r="F22" s="776">
        <v>0</v>
      </c>
      <c r="G22" s="777"/>
    </row>
    <row r="23" spans="1:7">
      <c r="A23" s="73">
        <f t="shared" si="1"/>
        <v>11</v>
      </c>
      <c r="C23" s="775" t="s">
        <v>906</v>
      </c>
      <c r="D23" s="20" t="s">
        <v>907</v>
      </c>
      <c r="F23" s="776">
        <v>5.2499999999999998E-2</v>
      </c>
      <c r="G23" s="777"/>
    </row>
    <row r="24" spans="1:7">
      <c r="A24" s="73">
        <f t="shared" si="1"/>
        <v>12</v>
      </c>
      <c r="C24" s="778">
        <v>392</v>
      </c>
      <c r="D24" s="20" t="s">
        <v>908</v>
      </c>
      <c r="F24" s="776">
        <v>0</v>
      </c>
      <c r="G24" s="777"/>
    </row>
    <row r="25" spans="1:7">
      <c r="A25" s="73">
        <f t="shared" si="1"/>
        <v>13</v>
      </c>
      <c r="C25" s="778" t="s">
        <v>909</v>
      </c>
      <c r="D25" s="20" t="s">
        <v>910</v>
      </c>
      <c r="F25" s="776">
        <v>0.1429</v>
      </c>
      <c r="G25" s="777"/>
    </row>
    <row r="26" spans="1:7">
      <c r="A26" s="73">
        <f t="shared" si="1"/>
        <v>14</v>
      </c>
      <c r="C26" s="775" t="s">
        <v>911</v>
      </c>
      <c r="D26" s="20" t="s">
        <v>912</v>
      </c>
      <c r="F26" s="776">
        <v>0</v>
      </c>
      <c r="G26" s="777"/>
    </row>
    <row r="27" spans="1:7">
      <c r="A27" s="73">
        <f t="shared" si="1"/>
        <v>15</v>
      </c>
      <c r="C27" s="775" t="s">
        <v>913</v>
      </c>
      <c r="D27" s="20" t="s">
        <v>914</v>
      </c>
      <c r="F27" s="776">
        <v>0</v>
      </c>
      <c r="G27" s="777"/>
    </row>
    <row r="28" spans="1:7">
      <c r="A28" s="73">
        <f t="shared" si="1"/>
        <v>16</v>
      </c>
      <c r="C28" s="775" t="s">
        <v>915</v>
      </c>
      <c r="D28" s="20" t="s">
        <v>916</v>
      </c>
      <c r="F28" s="776">
        <v>0</v>
      </c>
      <c r="G28" s="777"/>
    </row>
    <row r="29" spans="1:7">
      <c r="A29" s="73">
        <f t="shared" si="1"/>
        <v>17</v>
      </c>
      <c r="C29" s="775" t="s">
        <v>917</v>
      </c>
      <c r="D29" s="20" t="s">
        <v>918</v>
      </c>
      <c r="F29" s="776">
        <v>0.25</v>
      </c>
      <c r="G29" s="777"/>
    </row>
    <row r="30" spans="1:7">
      <c r="A30" s="73">
        <f t="shared" si="1"/>
        <v>18</v>
      </c>
      <c r="C30" s="775" t="s">
        <v>919</v>
      </c>
      <c r="D30" s="20" t="s">
        <v>920</v>
      </c>
      <c r="F30" s="776">
        <v>2.5000000000000001E-2</v>
      </c>
      <c r="G30" s="777"/>
    </row>
    <row r="31" spans="1:7">
      <c r="F31" s="776"/>
      <c r="G31" s="777"/>
    </row>
    <row r="32" spans="1:7">
      <c r="C32" s="775" t="s">
        <v>921</v>
      </c>
      <c r="F32" s="776"/>
      <c r="G32" s="777"/>
    </row>
    <row r="33" spans="1:7">
      <c r="A33" s="73">
        <v>1</v>
      </c>
      <c r="C33" s="775" t="s">
        <v>922</v>
      </c>
      <c r="D33" s="20" t="s">
        <v>923</v>
      </c>
      <c r="F33" s="776">
        <v>1.8500000000000003E-2</v>
      </c>
      <c r="G33" s="777"/>
    </row>
    <row r="34" spans="1:7">
      <c r="A34" s="73">
        <f>+A33+1</f>
        <v>2</v>
      </c>
      <c r="C34" s="21">
        <v>302</v>
      </c>
      <c r="D34" s="20" t="s">
        <v>924</v>
      </c>
      <c r="F34" s="779">
        <v>1.8500000000000003E-2</v>
      </c>
      <c r="G34" s="777"/>
    </row>
    <row r="35" spans="1:7">
      <c r="A35" s="73">
        <f t="shared" si="1"/>
        <v>3</v>
      </c>
      <c r="C35" s="775" t="s">
        <v>925</v>
      </c>
      <c r="D35" s="20" t="s">
        <v>926</v>
      </c>
      <c r="F35" s="776"/>
      <c r="G35" s="777"/>
    </row>
    <row r="36" spans="1:7">
      <c r="A36" s="73">
        <f t="shared" si="1"/>
        <v>4</v>
      </c>
      <c r="C36" s="775"/>
      <c r="D36" s="20" t="s">
        <v>927</v>
      </c>
      <c r="F36" s="776">
        <v>0.2</v>
      </c>
      <c r="G36" s="777"/>
    </row>
    <row r="37" spans="1:7" ht="15" customHeight="1">
      <c r="A37" s="73">
        <f t="shared" si="1"/>
        <v>5</v>
      </c>
      <c r="C37" s="775"/>
      <c r="D37" s="20" t="s">
        <v>928</v>
      </c>
      <c r="F37" s="776">
        <v>0.14285714285714299</v>
      </c>
      <c r="G37" s="777"/>
    </row>
    <row r="38" spans="1:7" ht="15" customHeight="1">
      <c r="A38" s="73">
        <f t="shared" si="1"/>
        <v>6</v>
      </c>
      <c r="C38" s="775"/>
      <c r="D38" s="20" t="s">
        <v>929</v>
      </c>
      <c r="F38" s="776">
        <v>0.1</v>
      </c>
    </row>
    <row r="39" spans="1:7" ht="15" customHeight="1">
      <c r="A39" s="128"/>
      <c r="D39" s="21" t="s">
        <v>930</v>
      </c>
      <c r="F39" s="780" t="s">
        <v>931</v>
      </c>
    </row>
    <row r="40" spans="1:7" ht="16.5" customHeight="1">
      <c r="A40" s="128"/>
    </row>
    <row r="41" spans="1:7" ht="15.75" customHeight="1">
      <c r="A41" s="128"/>
      <c r="C41" s="962" t="s">
        <v>932</v>
      </c>
      <c r="D41" s="962"/>
      <c r="E41" s="962"/>
      <c r="F41" s="962"/>
    </row>
    <row r="42" spans="1:7" ht="15.75" customHeight="1">
      <c r="A42" s="128"/>
      <c r="C42" s="962"/>
      <c r="D42" s="962"/>
      <c r="E42" s="962"/>
      <c r="F42" s="962"/>
    </row>
    <row r="43" spans="1:7" ht="60.75" customHeight="1">
      <c r="A43" s="128"/>
      <c r="C43" s="962"/>
      <c r="D43" s="962"/>
      <c r="E43" s="962"/>
      <c r="F43" s="962"/>
    </row>
    <row r="44" spans="1:7">
      <c r="A44" s="128"/>
      <c r="C44" s="962"/>
      <c r="D44" s="962"/>
      <c r="E44" s="962"/>
      <c r="F44" s="962"/>
    </row>
    <row r="45" spans="1:7">
      <c r="A45" s="128"/>
    </row>
    <row r="46" spans="1:7">
      <c r="A46" s="128"/>
      <c r="C46" s="20" t="s">
        <v>933</v>
      </c>
    </row>
    <row r="47" spans="1:7">
      <c r="A47" s="128"/>
    </row>
    <row r="48" spans="1:7" s="20" customFormat="1">
      <c r="A48" s="128"/>
      <c r="B48" s="73"/>
    </row>
    <row r="49" spans="1:2" s="20" customFormat="1">
      <c r="A49" s="73"/>
      <c r="B49" s="73"/>
    </row>
    <row r="50" spans="1:2" s="20" customFormat="1">
      <c r="A50" s="73"/>
      <c r="B50" s="73"/>
    </row>
    <row r="51" spans="1:2" s="20" customFormat="1">
      <c r="A51" s="73"/>
      <c r="B51" s="73"/>
    </row>
    <row r="52" spans="1:2" s="20" customFormat="1">
      <c r="A52" s="73"/>
      <c r="B52" s="73"/>
    </row>
    <row r="53" spans="1:2" s="20" customFormat="1">
      <c r="A53" s="73"/>
      <c r="B53" s="73"/>
    </row>
    <row r="54" spans="1:2" s="20" customFormat="1">
      <c r="A54" s="73"/>
      <c r="B54" s="73"/>
    </row>
    <row r="55" spans="1:2" s="20" customFormat="1">
      <c r="A55" s="73"/>
      <c r="B55" s="73"/>
    </row>
    <row r="56" spans="1:2" s="20" customFormat="1">
      <c r="A56" s="73"/>
      <c r="B56" s="73"/>
    </row>
    <row r="57" spans="1:2" s="20" customFormat="1">
      <c r="A57" s="73"/>
      <c r="B57" s="73"/>
    </row>
    <row r="58" spans="1:2" s="20" customFormat="1">
      <c r="A58" s="73"/>
      <c r="B58" s="73"/>
    </row>
    <row r="59" spans="1:2" s="20" customFormat="1">
      <c r="A59" s="73"/>
      <c r="B59" s="73"/>
    </row>
    <row r="60" spans="1:2" s="20" customFormat="1">
      <c r="A60" s="73"/>
      <c r="B60" s="73"/>
    </row>
    <row r="61" spans="1:2" s="20" customFormat="1">
      <c r="A61" s="73"/>
      <c r="B61" s="73"/>
    </row>
    <row r="62" spans="1:2" s="20" customFormat="1">
      <c r="A62" s="73"/>
      <c r="B62" s="73"/>
    </row>
    <row r="63" spans="1:2" s="20" customFormat="1">
      <c r="A63" s="73"/>
      <c r="B63" s="73"/>
    </row>
    <row r="64" spans="1:2" s="20" customFormat="1">
      <c r="A64" s="73"/>
      <c r="B64" s="73"/>
    </row>
    <row r="65" spans="1:2" s="20" customFormat="1">
      <c r="A65" s="73"/>
      <c r="B65" s="73"/>
    </row>
    <row r="66" spans="1:2" s="20" customFormat="1">
      <c r="A66" s="73"/>
      <c r="B66" s="73"/>
    </row>
    <row r="67" spans="1:2" s="20" customFormat="1">
      <c r="A67" s="73"/>
      <c r="B67" s="73"/>
    </row>
    <row r="68" spans="1:2" s="20" customFormat="1">
      <c r="A68" s="73"/>
      <c r="B68" s="73"/>
    </row>
    <row r="69" spans="1:2" s="20" customFormat="1">
      <c r="A69" s="73"/>
      <c r="B69" s="73"/>
    </row>
    <row r="70" spans="1:2" s="20" customFormat="1">
      <c r="A70" s="73"/>
      <c r="B70" s="73"/>
    </row>
    <row r="71" spans="1:2" s="20" customFormat="1">
      <c r="A71" s="73"/>
      <c r="B71" s="73"/>
    </row>
    <row r="72" spans="1:2" s="20" customFormat="1">
      <c r="A72" s="73"/>
      <c r="B72" s="73"/>
    </row>
    <row r="73" spans="1:2" s="20" customFormat="1">
      <c r="A73" s="73"/>
      <c r="B73" s="73"/>
    </row>
    <row r="74" spans="1:2" s="20" customFormat="1">
      <c r="A74" s="73"/>
      <c r="B74" s="73"/>
    </row>
    <row r="75" spans="1:2" s="20" customFormat="1">
      <c r="A75" s="73"/>
      <c r="B75" s="73"/>
    </row>
    <row r="76" spans="1:2" s="20" customFormat="1">
      <c r="A76" s="73"/>
      <c r="B76" s="73"/>
    </row>
    <row r="77" spans="1:2" s="20" customFormat="1">
      <c r="A77" s="73"/>
      <c r="B77" s="73"/>
    </row>
  </sheetData>
  <mergeCells count="4">
    <mergeCell ref="C2:F2"/>
    <mergeCell ref="C3:F3"/>
    <mergeCell ref="C4:F4"/>
    <mergeCell ref="C41:F44"/>
  </mergeCells>
  <pageMargins left="0.7" right="0.7" top="0.75" bottom="0.75" header="0.3" footer="0.3"/>
  <pageSetup scale="66" orientation="landscape" r:id="rId1"/>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614F-4C4E-433B-AEBB-57B101EC575D}">
  <sheetPr>
    <tabColor rgb="FF92D050"/>
    <pageSetUpPr fitToPage="1"/>
  </sheetPr>
  <dimension ref="A1:R30"/>
  <sheetViews>
    <sheetView view="pageBreakPreview" zoomScaleNormal="100" zoomScaleSheetLayoutView="100" workbookViewId="0">
      <selection activeCell="E43" sqref="E43"/>
    </sheetView>
  </sheetViews>
  <sheetFormatPr defaultColWidth="7" defaultRowHeight="15.6"/>
  <cols>
    <col min="1" max="1" width="3.81640625" style="727" customWidth="1"/>
    <col min="2" max="2" width="9.453125" style="766" customWidth="1"/>
    <col min="3" max="3" width="25" style="766" customWidth="1"/>
    <col min="4" max="4" width="34" style="766" customWidth="1"/>
    <col min="5" max="5" width="14.453125" style="759" bestFit="1" customWidth="1"/>
    <col min="6" max="6" width="9.1796875" style="766" customWidth="1"/>
    <col min="7" max="13" width="9.1796875" style="759" customWidth="1"/>
    <col min="14" max="18" width="8.36328125" style="759" bestFit="1" customWidth="1"/>
    <col min="19" max="16384" width="7" style="691"/>
  </cols>
  <sheetData>
    <row r="1" spans="1:18" customFormat="1">
      <c r="A1" s="861" t="s">
        <v>934</v>
      </c>
      <c r="B1" s="861"/>
      <c r="C1" s="861"/>
      <c r="D1" s="861"/>
      <c r="E1" s="861"/>
      <c r="F1" s="861" t="str">
        <f>+A1</f>
        <v>Attachment 10 - Land Held for Future Use</v>
      </c>
      <c r="G1" s="861"/>
      <c r="H1" s="861"/>
      <c r="I1" s="861"/>
      <c r="J1" s="861"/>
      <c r="K1" s="861"/>
      <c r="L1" s="861"/>
      <c r="M1" s="861"/>
      <c r="N1" s="861"/>
      <c r="O1" s="861"/>
      <c r="P1" s="861"/>
      <c r="Q1" s="861"/>
      <c r="R1" s="861"/>
    </row>
    <row r="2" spans="1:18" customFormat="1">
      <c r="A2" s="961"/>
      <c r="B2" s="961"/>
      <c r="C2" s="961"/>
      <c r="D2" s="961"/>
      <c r="E2" s="961"/>
      <c r="F2" s="961"/>
      <c r="G2" s="961"/>
      <c r="H2" s="961"/>
      <c r="I2" s="961"/>
      <c r="J2" s="961"/>
      <c r="K2" s="961"/>
      <c r="L2" s="961"/>
      <c r="M2" s="961"/>
      <c r="N2" s="961"/>
      <c r="O2" s="961"/>
      <c r="P2" s="961"/>
      <c r="Q2" s="961"/>
      <c r="R2" s="961"/>
    </row>
    <row r="3" spans="1:18" customFormat="1">
      <c r="A3" s="938" t="s">
        <v>6</v>
      </c>
      <c r="B3" s="942"/>
      <c r="C3" s="942"/>
      <c r="D3" s="942"/>
      <c r="E3" s="942"/>
      <c r="F3" s="938" t="s">
        <v>6</v>
      </c>
      <c r="G3" s="942"/>
      <c r="H3" s="942"/>
      <c r="I3" s="942"/>
      <c r="J3" s="942"/>
      <c r="K3" s="942"/>
      <c r="L3" s="942"/>
      <c r="M3" s="942"/>
      <c r="N3" s="942"/>
      <c r="O3" s="942"/>
      <c r="P3" s="942"/>
      <c r="Q3" s="942"/>
      <c r="R3" s="942"/>
    </row>
    <row r="5" spans="1:18" s="694" customFormat="1">
      <c r="A5" s="763"/>
      <c r="B5" s="781" t="s">
        <v>174</v>
      </c>
      <c r="C5" s="782" t="s">
        <v>370</v>
      </c>
      <c r="D5" s="783" t="s">
        <v>829</v>
      </c>
      <c r="E5" s="783" t="s">
        <v>714</v>
      </c>
      <c r="F5" s="783" t="s">
        <v>830</v>
      </c>
      <c r="G5" s="783" t="s">
        <v>716</v>
      </c>
      <c r="H5" s="783" t="s">
        <v>717</v>
      </c>
      <c r="I5" s="783" t="s">
        <v>737</v>
      </c>
      <c r="J5" s="783" t="s">
        <v>738</v>
      </c>
      <c r="K5" s="783" t="s">
        <v>739</v>
      </c>
      <c r="L5" s="783" t="s">
        <v>740</v>
      </c>
      <c r="M5" s="783" t="s">
        <v>808</v>
      </c>
      <c r="N5" s="783" t="s">
        <v>809</v>
      </c>
      <c r="O5" s="783" t="s">
        <v>831</v>
      </c>
      <c r="P5" s="783" t="s">
        <v>832</v>
      </c>
      <c r="Q5" s="782" t="s">
        <v>833</v>
      </c>
      <c r="R5" s="763" t="s">
        <v>834</v>
      </c>
    </row>
    <row r="6" spans="1:18" s="700" customFormat="1" ht="33.75" customHeight="1">
      <c r="A6" s="963" t="s">
        <v>43</v>
      </c>
      <c r="B6" s="963" t="s">
        <v>935</v>
      </c>
      <c r="C6" s="964" t="s">
        <v>936</v>
      </c>
      <c r="D6" s="964" t="s">
        <v>937</v>
      </c>
      <c r="E6" s="963" t="s">
        <v>938</v>
      </c>
      <c r="F6" s="784" t="s">
        <v>839</v>
      </c>
      <c r="G6" s="785" t="s">
        <v>840</v>
      </c>
      <c r="H6" s="785" t="s">
        <v>841</v>
      </c>
      <c r="I6" s="785" t="s">
        <v>842</v>
      </c>
      <c r="J6" s="785" t="s">
        <v>843</v>
      </c>
      <c r="K6" s="785" t="s">
        <v>844</v>
      </c>
      <c r="L6" s="785" t="s">
        <v>845</v>
      </c>
      <c r="M6" s="785" t="s">
        <v>846</v>
      </c>
      <c r="N6" s="785" t="s">
        <v>847</v>
      </c>
      <c r="O6" s="785" t="s">
        <v>848</v>
      </c>
      <c r="P6" s="785" t="s">
        <v>849</v>
      </c>
      <c r="Q6" s="785" t="s">
        <v>850</v>
      </c>
      <c r="R6" s="785" t="s">
        <v>839</v>
      </c>
    </row>
    <row r="7" spans="1:18" s="700" customFormat="1">
      <c r="A7" s="963"/>
      <c r="B7" s="963"/>
      <c r="C7" s="965"/>
      <c r="D7" s="965"/>
      <c r="E7" s="963"/>
      <c r="F7" s="786">
        <v>2021</v>
      </c>
      <c r="G7" s="786">
        <v>2022</v>
      </c>
      <c r="H7" s="786">
        <v>2022</v>
      </c>
      <c r="I7" s="786">
        <v>2022</v>
      </c>
      <c r="J7" s="786">
        <v>2022</v>
      </c>
      <c r="K7" s="786">
        <v>2022</v>
      </c>
      <c r="L7" s="786">
        <v>2022</v>
      </c>
      <c r="M7" s="786">
        <v>2022</v>
      </c>
      <c r="N7" s="786">
        <v>2022</v>
      </c>
      <c r="O7" s="786">
        <v>2022</v>
      </c>
      <c r="P7" s="786">
        <v>2022</v>
      </c>
      <c r="Q7" s="786">
        <v>2022</v>
      </c>
      <c r="R7" s="786">
        <v>2022</v>
      </c>
    </row>
    <row r="8" spans="1:18" ht="28.65" customHeight="1">
      <c r="A8" s="727" t="s">
        <v>257</v>
      </c>
      <c r="B8" s="787"/>
      <c r="C8" s="788" t="s">
        <v>939</v>
      </c>
      <c r="D8" s="742"/>
      <c r="E8" s="744">
        <f>IFERROR(SUM(F8:R8)/13,0)</f>
        <v>2036816</v>
      </c>
      <c r="F8" s="742">
        <v>2036816</v>
      </c>
      <c r="G8" s="742">
        <v>2036816</v>
      </c>
      <c r="H8" s="742">
        <v>2036816</v>
      </c>
      <c r="I8" s="742">
        <v>2036816</v>
      </c>
      <c r="J8" s="742">
        <v>2036816</v>
      </c>
      <c r="K8" s="742">
        <v>2036816</v>
      </c>
      <c r="L8" s="742">
        <v>2036816</v>
      </c>
      <c r="M8" s="742">
        <v>2036816</v>
      </c>
      <c r="N8" s="742">
        <v>2036816</v>
      </c>
      <c r="O8" s="742">
        <v>2036816</v>
      </c>
      <c r="P8" s="742">
        <v>2036816</v>
      </c>
      <c r="Q8" s="742">
        <v>2036816</v>
      </c>
      <c r="R8" s="742">
        <v>2036816</v>
      </c>
    </row>
    <row r="9" spans="1:18" ht="28.65" customHeight="1">
      <c r="A9" s="727" t="s">
        <v>856</v>
      </c>
      <c r="B9" s="789"/>
      <c r="C9" s="750"/>
      <c r="D9" s="750"/>
      <c r="E9" s="751">
        <f t="shared" ref="E9:E17" si="0">IFERROR(SUM(F9:R9)/13,0)</f>
        <v>0</v>
      </c>
      <c r="F9" s="750"/>
      <c r="G9" s="750"/>
      <c r="H9" s="750"/>
      <c r="I9" s="750"/>
      <c r="J9" s="750"/>
      <c r="K9" s="750"/>
      <c r="L9" s="750"/>
      <c r="M9" s="750"/>
      <c r="N9" s="750"/>
      <c r="O9" s="750"/>
      <c r="P9" s="750"/>
      <c r="Q9" s="750"/>
      <c r="R9" s="750"/>
    </row>
    <row r="10" spans="1:18" ht="28.65" customHeight="1">
      <c r="A10" s="727" t="s">
        <v>857</v>
      </c>
      <c r="B10" s="789"/>
      <c r="C10" s="750"/>
      <c r="D10" s="750"/>
      <c r="E10" s="751">
        <f t="shared" si="0"/>
        <v>0</v>
      </c>
      <c r="F10" s="750"/>
      <c r="G10" s="750"/>
      <c r="H10" s="750"/>
      <c r="I10" s="750"/>
      <c r="J10" s="750"/>
      <c r="K10" s="750"/>
      <c r="L10" s="750"/>
      <c r="M10" s="750"/>
      <c r="N10" s="750"/>
      <c r="O10" s="750"/>
      <c r="P10" s="750"/>
      <c r="Q10" s="750"/>
      <c r="R10" s="750"/>
    </row>
    <row r="11" spans="1:18" ht="28.65" customHeight="1">
      <c r="A11" s="727" t="s">
        <v>259</v>
      </c>
      <c r="B11" s="789"/>
      <c r="C11" s="750"/>
      <c r="D11" s="750"/>
      <c r="E11" s="751">
        <f t="shared" si="0"/>
        <v>0</v>
      </c>
      <c r="F11" s="750"/>
      <c r="G11" s="750"/>
      <c r="H11" s="750"/>
      <c r="I11" s="750"/>
      <c r="J11" s="750"/>
      <c r="K11" s="750"/>
      <c r="L11" s="750"/>
      <c r="M11" s="750"/>
      <c r="N11" s="750"/>
      <c r="O11" s="750"/>
      <c r="P11" s="750"/>
      <c r="Q11" s="750"/>
      <c r="R11" s="750"/>
    </row>
    <row r="12" spans="1:18" ht="28.65" customHeight="1">
      <c r="A12" s="727" t="s">
        <v>259</v>
      </c>
      <c r="B12" s="789"/>
      <c r="C12" s="750"/>
      <c r="D12" s="750"/>
      <c r="E12" s="751">
        <f t="shared" si="0"/>
        <v>0</v>
      </c>
      <c r="F12" s="750"/>
      <c r="G12" s="750"/>
      <c r="H12" s="750"/>
      <c r="I12" s="750"/>
      <c r="J12" s="750"/>
      <c r="K12" s="750"/>
      <c r="L12" s="750"/>
      <c r="M12" s="750"/>
      <c r="N12" s="750"/>
      <c r="O12" s="750"/>
      <c r="P12" s="750"/>
      <c r="Q12" s="750"/>
      <c r="R12" s="750"/>
    </row>
    <row r="13" spans="1:18" ht="28.65" customHeight="1">
      <c r="A13" s="727" t="s">
        <v>259</v>
      </c>
      <c r="B13" s="789"/>
      <c r="C13" s="750"/>
      <c r="D13" s="750"/>
      <c r="E13" s="751">
        <f t="shared" si="0"/>
        <v>0</v>
      </c>
      <c r="F13" s="750"/>
      <c r="G13" s="750"/>
      <c r="H13" s="750"/>
      <c r="I13" s="750"/>
      <c r="J13" s="750"/>
      <c r="K13" s="750"/>
      <c r="L13" s="750"/>
      <c r="M13" s="750"/>
      <c r="N13" s="750"/>
      <c r="O13" s="750"/>
      <c r="P13" s="750"/>
      <c r="Q13" s="750"/>
      <c r="R13" s="750"/>
    </row>
    <row r="14" spans="1:18" ht="28.65" customHeight="1">
      <c r="A14" s="727" t="s">
        <v>259</v>
      </c>
      <c r="B14" s="789"/>
      <c r="C14" s="750"/>
      <c r="D14" s="750"/>
      <c r="E14" s="751">
        <f t="shared" si="0"/>
        <v>0</v>
      </c>
      <c r="F14" s="750"/>
      <c r="G14" s="750"/>
      <c r="H14" s="750"/>
      <c r="I14" s="750"/>
      <c r="J14" s="750"/>
      <c r="K14" s="750"/>
      <c r="L14" s="750"/>
      <c r="M14" s="750"/>
      <c r="N14" s="750"/>
      <c r="O14" s="750"/>
      <c r="P14" s="750"/>
      <c r="Q14" s="750"/>
      <c r="R14" s="750"/>
    </row>
    <row r="15" spans="1:18" ht="28.65" customHeight="1">
      <c r="A15" s="727" t="s">
        <v>259</v>
      </c>
      <c r="B15" s="789"/>
      <c r="C15" s="750"/>
      <c r="D15" s="750"/>
      <c r="E15" s="751">
        <f t="shared" si="0"/>
        <v>0</v>
      </c>
      <c r="F15" s="750"/>
      <c r="G15" s="750"/>
      <c r="H15" s="750"/>
      <c r="I15" s="750"/>
      <c r="J15" s="750"/>
      <c r="K15" s="750"/>
      <c r="L15" s="750"/>
      <c r="M15" s="750"/>
      <c r="N15" s="750"/>
      <c r="O15" s="750"/>
      <c r="P15" s="750"/>
      <c r="Q15" s="750"/>
      <c r="R15" s="750"/>
    </row>
    <row r="16" spans="1:18" ht="28.65" customHeight="1">
      <c r="A16" s="727" t="s">
        <v>259</v>
      </c>
      <c r="B16" s="789"/>
      <c r="C16" s="750"/>
      <c r="D16" s="750"/>
      <c r="E16" s="751">
        <f t="shared" si="0"/>
        <v>0</v>
      </c>
      <c r="F16" s="750"/>
      <c r="G16" s="750"/>
      <c r="H16" s="750"/>
      <c r="I16" s="750"/>
      <c r="J16" s="750"/>
      <c r="K16" s="750"/>
      <c r="L16" s="750"/>
      <c r="M16" s="750"/>
      <c r="N16" s="750"/>
      <c r="O16" s="750"/>
      <c r="P16" s="750"/>
      <c r="Q16" s="750"/>
      <c r="R16" s="750"/>
    </row>
    <row r="17" spans="1:18" ht="28.65" customHeight="1">
      <c r="A17" s="727" t="s">
        <v>261</v>
      </c>
      <c r="B17" s="789"/>
      <c r="C17" s="750"/>
      <c r="D17" s="750"/>
      <c r="E17" s="790">
        <f t="shared" si="0"/>
        <v>0</v>
      </c>
      <c r="F17" s="750"/>
      <c r="G17" s="750"/>
      <c r="H17" s="750"/>
      <c r="I17" s="750"/>
      <c r="J17" s="750"/>
      <c r="K17" s="750"/>
      <c r="L17" s="750"/>
      <c r="M17" s="750"/>
      <c r="N17" s="750"/>
      <c r="O17" s="791"/>
      <c r="P17" s="791"/>
      <c r="Q17" s="791"/>
      <c r="R17" s="791"/>
    </row>
    <row r="18" spans="1:18">
      <c r="A18" s="727">
        <v>2</v>
      </c>
      <c r="C18" s="792"/>
      <c r="D18" s="792" t="s">
        <v>940</v>
      </c>
      <c r="E18" s="793">
        <f>SUM(E8:E17)</f>
        <v>2036816</v>
      </c>
      <c r="F18" s="794"/>
      <c r="G18" s="794"/>
      <c r="H18" s="794"/>
      <c r="I18" s="794"/>
      <c r="J18" s="794"/>
      <c r="K18" s="794"/>
      <c r="L18" s="794"/>
      <c r="M18" s="794"/>
      <c r="N18" s="727"/>
      <c r="O18" s="727"/>
      <c r="P18" s="727"/>
      <c r="Q18" s="727"/>
      <c r="R18" s="727"/>
    </row>
    <row r="19" spans="1:18">
      <c r="E19" s="794"/>
      <c r="F19" s="758" t="s">
        <v>941</v>
      </c>
      <c r="G19" s="758"/>
      <c r="H19" s="758"/>
      <c r="I19" s="758"/>
      <c r="J19" s="758"/>
      <c r="K19" s="758"/>
      <c r="L19" s="794"/>
      <c r="M19" s="794"/>
      <c r="N19" s="794"/>
      <c r="O19" s="794"/>
      <c r="P19" s="794"/>
      <c r="Q19" s="794"/>
      <c r="R19" s="794"/>
    </row>
    <row r="20" spans="1:18">
      <c r="B20" s="767"/>
      <c r="C20" s="795"/>
      <c r="D20" s="795"/>
      <c r="F20" s="795"/>
      <c r="G20" s="796" t="s">
        <v>942</v>
      </c>
    </row>
    <row r="21" spans="1:18">
      <c r="C21" s="795"/>
      <c r="D21" s="795"/>
      <c r="E21" s="727"/>
      <c r="F21" s="795"/>
      <c r="G21" s="795"/>
      <c r="R21" s="727"/>
    </row>
    <row r="22" spans="1:18" ht="12" customHeight="1">
      <c r="C22" s="795"/>
      <c r="D22" s="795"/>
      <c r="E22" s="727"/>
      <c r="F22" s="795"/>
      <c r="M22" s="797"/>
      <c r="R22" s="727"/>
    </row>
    <row r="23" spans="1:18" ht="12" customHeight="1">
      <c r="C23" s="795"/>
      <c r="D23" s="795"/>
      <c r="E23" s="727"/>
      <c r="F23" s="795"/>
      <c r="R23" s="727"/>
    </row>
    <row r="24" spans="1:18" ht="11.25" customHeight="1">
      <c r="A24" s="767"/>
      <c r="C24" s="795"/>
      <c r="D24" s="795"/>
      <c r="E24" s="727"/>
      <c r="F24" s="795"/>
      <c r="M24" s="798"/>
      <c r="R24" s="727"/>
    </row>
    <row r="25" spans="1:18" ht="11.25" customHeight="1">
      <c r="A25" s="767"/>
      <c r="B25" s="767"/>
      <c r="C25" s="966"/>
      <c r="D25" s="966"/>
      <c r="E25" s="727"/>
      <c r="M25" s="799"/>
      <c r="R25" s="727"/>
    </row>
    <row r="26" spans="1:18" ht="11.25" customHeight="1">
      <c r="A26" s="766"/>
      <c r="B26" s="767"/>
      <c r="E26" s="727"/>
      <c r="M26" s="799"/>
      <c r="R26" s="727"/>
    </row>
    <row r="27" spans="1:18">
      <c r="A27" s="766"/>
      <c r="E27" s="727"/>
      <c r="R27" s="727"/>
    </row>
    <row r="28" spans="1:18">
      <c r="A28" s="766"/>
      <c r="E28" s="727"/>
      <c r="R28" s="727"/>
    </row>
    <row r="29" spans="1:18">
      <c r="A29" s="766"/>
      <c r="E29" s="727"/>
      <c r="R29" s="727"/>
    </row>
    <row r="30" spans="1:18">
      <c r="A30" s="766"/>
    </row>
  </sheetData>
  <mergeCells count="12">
    <mergeCell ref="C25:D25"/>
    <mergeCell ref="A1:E1"/>
    <mergeCell ref="F1:R1"/>
    <mergeCell ref="A2:E2"/>
    <mergeCell ref="F2:R2"/>
    <mergeCell ref="A3:E3"/>
    <mergeCell ref="F3:R3"/>
    <mergeCell ref="A6:A7"/>
    <mergeCell ref="B6:B7"/>
    <mergeCell ref="C6:C7"/>
    <mergeCell ref="D6:D7"/>
    <mergeCell ref="E6:E7"/>
  </mergeCells>
  <pageMargins left="0.7" right="0.7" top="0.75" bottom="0.75" header="0.3" footer="0.3"/>
  <pageSetup scale="50" orientation="landscape" r:id="rId1"/>
  <headerFooter>
    <oddFooter>&amp;RPage &amp;P of &amp;N</oddFooter>
  </headerFooter>
  <colBreaks count="1" manualBreakCount="1">
    <brk id="5" max="1048575" man="1"/>
  </colBreaks>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C4832-D7B8-4BDA-B1A8-09FDCCBECE3A}">
  <sheetPr>
    <tabColor rgb="FF92D050"/>
    <pageSetUpPr fitToPage="1"/>
  </sheetPr>
  <dimension ref="A1:AP32"/>
  <sheetViews>
    <sheetView view="pageBreakPreview" zoomScale="80" zoomScaleNormal="100" zoomScaleSheetLayoutView="80" workbookViewId="0">
      <selection activeCell="E43" sqref="E43"/>
    </sheetView>
  </sheetViews>
  <sheetFormatPr defaultColWidth="7.08984375" defaultRowHeight="10.199999999999999"/>
  <cols>
    <col min="1" max="2" width="2.54296875" style="691" customWidth="1"/>
    <col min="3" max="3" width="24" style="691" customWidth="1"/>
    <col min="4" max="4" width="9.453125" style="719" customWidth="1"/>
    <col min="5" max="5" width="1.36328125" style="838" customWidth="1"/>
    <col min="6" max="6" width="8.36328125" style="720" customWidth="1"/>
    <col min="7" max="7" width="1.36328125" style="839" customWidth="1"/>
    <col min="8" max="8" width="8.1796875" style="719" customWidth="1"/>
    <col min="9" max="9" width="1.36328125" style="839" customWidth="1"/>
    <col min="10" max="10" width="11.6328125" style="691" bestFit="1" customWidth="1"/>
    <col min="11" max="11" width="1.36328125" style="691" customWidth="1"/>
    <col min="12" max="12" width="8.81640625" style="719" customWidth="1"/>
    <col min="13" max="13" width="1.36328125" style="691" customWidth="1"/>
    <col min="14" max="14" width="12.453125" style="691" customWidth="1"/>
    <col min="15" max="15" width="1.90625" style="691" bestFit="1" customWidth="1"/>
    <col min="16" max="16" width="9.36328125" style="691" customWidth="1"/>
    <col min="17" max="29" width="9.81640625" style="691" customWidth="1"/>
    <col min="30" max="30" width="15.90625" style="691" customWidth="1"/>
    <col min="31" max="31" width="1.453125" style="691" customWidth="1"/>
    <col min="32" max="32" width="9.36328125" style="720" customWidth="1"/>
    <col min="33" max="33" width="2.1796875" style="691" customWidth="1"/>
    <col min="34" max="34" width="11.1796875" style="691" customWidth="1"/>
    <col min="35" max="35" width="1.36328125" style="691" customWidth="1"/>
    <col min="36" max="36" width="13.54296875" style="691" bestFit="1" customWidth="1"/>
    <col min="37" max="37" width="1.36328125" style="691" customWidth="1"/>
    <col min="38" max="38" width="10.54296875" style="691" bestFit="1" customWidth="1"/>
    <col min="39" max="39" width="1.36328125" style="691" customWidth="1"/>
    <col min="40" max="40" width="14.54296875" style="800" customWidth="1"/>
    <col min="41" max="41" width="1.36328125" style="691" customWidth="1"/>
    <col min="42" max="42" width="10.6328125" style="800" bestFit="1" customWidth="1"/>
    <col min="43" max="16384" width="7.08984375" style="691"/>
  </cols>
  <sheetData>
    <row r="1" spans="1:42" ht="15.6">
      <c r="A1" s="861" t="s">
        <v>943</v>
      </c>
      <c r="B1" s="861"/>
      <c r="C1" s="861"/>
      <c r="D1" s="861"/>
      <c r="E1" s="861"/>
      <c r="F1" s="861"/>
      <c r="G1" s="861"/>
      <c r="H1" s="861"/>
      <c r="I1" s="861"/>
      <c r="J1" s="861"/>
      <c r="K1" s="861"/>
      <c r="L1" s="861"/>
      <c r="M1" s="861"/>
      <c r="N1" s="861"/>
      <c r="O1" s="861"/>
      <c r="P1" s="861"/>
      <c r="Q1" s="861" t="s">
        <v>943</v>
      </c>
      <c r="R1" s="861"/>
      <c r="S1" s="861"/>
      <c r="T1" s="861"/>
      <c r="U1" s="861"/>
      <c r="V1" s="861"/>
      <c r="W1" s="861"/>
      <c r="X1" s="861"/>
      <c r="Y1" s="861"/>
      <c r="Z1" s="861"/>
      <c r="AA1" s="861"/>
      <c r="AB1" s="861"/>
      <c r="AC1" s="861"/>
      <c r="AD1" s="861" t="s">
        <v>943</v>
      </c>
      <c r="AE1" s="861"/>
      <c r="AF1" s="861"/>
      <c r="AG1" s="861"/>
      <c r="AH1" s="861"/>
      <c r="AI1" s="861"/>
      <c r="AJ1" s="861"/>
      <c r="AK1" s="861"/>
      <c r="AL1" s="861"/>
      <c r="AM1" s="861"/>
      <c r="AN1" s="861"/>
    </row>
    <row r="2" spans="1:42" ht="15.6">
      <c r="A2" s="961"/>
      <c r="B2" s="961"/>
      <c r="C2" s="961"/>
      <c r="D2" s="961"/>
      <c r="E2" s="961"/>
      <c r="F2" s="961"/>
      <c r="G2" s="961"/>
      <c r="H2" s="961"/>
      <c r="I2" s="961"/>
      <c r="J2" s="961"/>
      <c r="K2" s="961"/>
      <c r="L2" s="961"/>
      <c r="M2" s="961"/>
      <c r="N2" s="961"/>
      <c r="O2" s="961"/>
      <c r="P2" s="961"/>
      <c r="Q2" s="961"/>
      <c r="R2" s="961"/>
      <c r="S2" s="961"/>
      <c r="T2" s="961"/>
      <c r="U2" s="961"/>
      <c r="V2" s="961"/>
      <c r="W2" s="961"/>
      <c r="X2" s="961"/>
      <c r="Y2" s="961"/>
      <c r="Z2" s="961"/>
      <c r="AA2" s="961"/>
      <c r="AB2" s="961"/>
      <c r="AC2" s="961"/>
      <c r="AD2" s="961"/>
      <c r="AE2" s="961"/>
      <c r="AF2" s="961"/>
      <c r="AG2" s="961"/>
      <c r="AH2" s="961"/>
      <c r="AI2" s="961"/>
      <c r="AJ2" s="961"/>
      <c r="AK2" s="961"/>
      <c r="AL2" s="961"/>
      <c r="AM2" s="961"/>
      <c r="AN2" s="961"/>
    </row>
    <row r="3" spans="1:42" ht="15.6">
      <c r="A3" s="938" t="s">
        <v>6</v>
      </c>
      <c r="B3" s="942"/>
      <c r="C3" s="942"/>
      <c r="D3" s="942"/>
      <c r="E3" s="942"/>
      <c r="F3" s="942"/>
      <c r="G3" s="942"/>
      <c r="H3" s="942"/>
      <c r="I3" s="942"/>
      <c r="J3" s="942"/>
      <c r="K3" s="942"/>
      <c r="L3" s="942"/>
      <c r="M3" s="942"/>
      <c r="N3" s="942"/>
      <c r="O3" s="942"/>
      <c r="P3" s="942"/>
      <c r="Q3" s="938" t="s">
        <v>6</v>
      </c>
      <c r="R3" s="942"/>
      <c r="S3" s="942"/>
      <c r="T3" s="942"/>
      <c r="U3" s="942"/>
      <c r="V3" s="942"/>
      <c r="W3" s="942"/>
      <c r="X3" s="942"/>
      <c r="Y3" s="942"/>
      <c r="Z3" s="942"/>
      <c r="AA3" s="942"/>
      <c r="AB3" s="942"/>
      <c r="AC3" s="942"/>
      <c r="AD3" s="938" t="s">
        <v>6</v>
      </c>
      <c r="AE3" s="942"/>
      <c r="AF3" s="942"/>
      <c r="AG3" s="942"/>
      <c r="AH3" s="942"/>
      <c r="AI3" s="942"/>
      <c r="AJ3" s="942"/>
      <c r="AK3" s="942"/>
      <c r="AL3" s="942"/>
      <c r="AM3" s="942"/>
      <c r="AN3" s="942"/>
    </row>
    <row r="4" spans="1:42" ht="15.6">
      <c r="A4" s="727"/>
      <c r="B4" s="727"/>
      <c r="C4" s="727"/>
      <c r="D4" s="759"/>
      <c r="E4" s="763"/>
      <c r="F4" s="764"/>
      <c r="G4" s="758"/>
      <c r="H4" s="759"/>
      <c r="I4" s="758"/>
      <c r="J4" s="727"/>
      <c r="K4" s="727"/>
      <c r="L4" s="759"/>
      <c r="M4" s="727"/>
      <c r="N4" s="727"/>
      <c r="O4" s="727"/>
      <c r="P4" s="727"/>
      <c r="Q4" s="727"/>
      <c r="R4" s="727"/>
      <c r="S4" s="727"/>
      <c r="T4" s="727"/>
      <c r="U4" s="727"/>
      <c r="V4" s="727"/>
      <c r="W4" s="727"/>
      <c r="X4" s="727"/>
      <c r="Y4" s="727"/>
      <c r="Z4" s="727"/>
      <c r="AA4" s="727"/>
      <c r="AB4" s="727"/>
      <c r="AC4" s="727"/>
      <c r="AD4" s="727"/>
      <c r="AE4" s="727"/>
      <c r="AF4" s="764"/>
      <c r="AG4" s="727"/>
      <c r="AH4" s="727"/>
      <c r="AI4" s="727"/>
      <c r="AJ4" s="727"/>
      <c r="AK4" s="727"/>
      <c r="AL4" s="727"/>
      <c r="AM4" s="727"/>
      <c r="AN4" s="801"/>
    </row>
    <row r="5" spans="1:42" s="694" customFormat="1" ht="15.6">
      <c r="A5" s="728"/>
      <c r="B5" s="728"/>
      <c r="C5" s="728" t="s">
        <v>174</v>
      </c>
      <c r="D5" s="729" t="s">
        <v>370</v>
      </c>
      <c r="E5" s="728"/>
      <c r="F5" s="730" t="s">
        <v>829</v>
      </c>
      <c r="G5" s="729"/>
      <c r="H5" s="729" t="s">
        <v>714</v>
      </c>
      <c r="I5" s="729"/>
      <c r="J5" s="728" t="s">
        <v>830</v>
      </c>
      <c r="K5" s="728"/>
      <c r="L5" s="729" t="s">
        <v>716</v>
      </c>
      <c r="M5" s="728"/>
      <c r="N5" s="728" t="s">
        <v>717</v>
      </c>
      <c r="O5" s="728"/>
      <c r="P5" s="730" t="s">
        <v>737</v>
      </c>
      <c r="Q5" s="730" t="s">
        <v>738</v>
      </c>
      <c r="R5" s="730" t="s">
        <v>739</v>
      </c>
      <c r="S5" s="730" t="s">
        <v>740</v>
      </c>
      <c r="T5" s="730" t="s">
        <v>808</v>
      </c>
      <c r="U5" s="730" t="s">
        <v>809</v>
      </c>
      <c r="V5" s="730" t="s">
        <v>831</v>
      </c>
      <c r="W5" s="730" t="s">
        <v>832</v>
      </c>
      <c r="X5" s="730" t="s">
        <v>833</v>
      </c>
      <c r="Y5" s="729" t="s">
        <v>834</v>
      </c>
      <c r="Z5" s="728" t="s">
        <v>835</v>
      </c>
      <c r="AA5" s="728" t="s">
        <v>836</v>
      </c>
      <c r="AB5" s="728" t="s">
        <v>865</v>
      </c>
      <c r="AC5" s="730" t="s">
        <v>866</v>
      </c>
      <c r="AD5" s="728" t="s">
        <v>944</v>
      </c>
      <c r="AE5" s="728"/>
      <c r="AF5" s="728" t="s">
        <v>945</v>
      </c>
      <c r="AG5" s="728"/>
      <c r="AH5" s="728" t="s">
        <v>946</v>
      </c>
      <c r="AI5" s="728"/>
      <c r="AJ5" s="728" t="s">
        <v>947</v>
      </c>
      <c r="AK5" s="728"/>
      <c r="AL5" s="728" t="s">
        <v>948</v>
      </c>
      <c r="AM5" s="728"/>
      <c r="AN5" s="728" t="s">
        <v>949</v>
      </c>
    </row>
    <row r="6" spans="1:42" s="700" customFormat="1" ht="46.5" customHeight="1">
      <c r="A6" s="959" t="s">
        <v>43</v>
      </c>
      <c r="B6" s="959"/>
      <c r="C6" s="959" t="s">
        <v>867</v>
      </c>
      <c r="D6" s="959" t="s">
        <v>950</v>
      </c>
      <c r="E6" s="968" t="s">
        <v>951</v>
      </c>
      <c r="F6" s="959" t="s">
        <v>952</v>
      </c>
      <c r="G6" s="959" t="s">
        <v>164</v>
      </c>
      <c r="H6" s="959" t="s">
        <v>953</v>
      </c>
      <c r="I6" s="959" t="s">
        <v>852</v>
      </c>
      <c r="J6" s="959" t="s">
        <v>954</v>
      </c>
      <c r="K6" s="959" t="s">
        <v>164</v>
      </c>
      <c r="L6" s="959" t="s">
        <v>955</v>
      </c>
      <c r="M6" s="959" t="s">
        <v>852</v>
      </c>
      <c r="N6" s="959" t="s">
        <v>956</v>
      </c>
      <c r="O6" s="959" t="s">
        <v>164</v>
      </c>
      <c r="P6" s="959" t="s">
        <v>957</v>
      </c>
      <c r="Q6" s="733" t="s">
        <v>839</v>
      </c>
      <c r="R6" s="733" t="s">
        <v>840</v>
      </c>
      <c r="S6" s="733" t="s">
        <v>841</v>
      </c>
      <c r="T6" s="733" t="s">
        <v>842</v>
      </c>
      <c r="U6" s="733" t="s">
        <v>843</v>
      </c>
      <c r="V6" s="733" t="s">
        <v>844</v>
      </c>
      <c r="W6" s="733" t="s">
        <v>845</v>
      </c>
      <c r="X6" s="733" t="s">
        <v>846</v>
      </c>
      <c r="Y6" s="733" t="s">
        <v>847</v>
      </c>
      <c r="Z6" s="733" t="s">
        <v>848</v>
      </c>
      <c r="AA6" s="733" t="s">
        <v>849</v>
      </c>
      <c r="AB6" s="733" t="s">
        <v>850</v>
      </c>
      <c r="AC6" s="733" t="s">
        <v>839</v>
      </c>
      <c r="AD6" s="959" t="s">
        <v>958</v>
      </c>
      <c r="AE6" s="959" t="s">
        <v>852</v>
      </c>
      <c r="AF6" s="959" t="s">
        <v>959</v>
      </c>
      <c r="AG6" s="959" t="s">
        <v>852</v>
      </c>
      <c r="AH6" s="959" t="s">
        <v>960</v>
      </c>
      <c r="AI6" s="959" t="s">
        <v>164</v>
      </c>
      <c r="AJ6" s="959" t="s">
        <v>961</v>
      </c>
      <c r="AK6" s="959"/>
      <c r="AL6" s="959" t="s">
        <v>962</v>
      </c>
      <c r="AM6" s="959"/>
      <c r="AN6" s="959" t="s">
        <v>963</v>
      </c>
    </row>
    <row r="7" spans="1:42" s="700" customFormat="1" ht="48" customHeight="1">
      <c r="A7" s="959"/>
      <c r="B7" s="959"/>
      <c r="C7" s="959"/>
      <c r="D7" s="959"/>
      <c r="E7" s="968"/>
      <c r="F7" s="959"/>
      <c r="G7" s="959"/>
      <c r="H7" s="959"/>
      <c r="I7" s="959"/>
      <c r="J7" s="959"/>
      <c r="K7" s="959"/>
      <c r="L7" s="959"/>
      <c r="M7" s="959"/>
      <c r="N7" s="959"/>
      <c r="O7" s="959"/>
      <c r="P7" s="959"/>
      <c r="Q7" s="802">
        <f>R7-1</f>
        <v>2021</v>
      </c>
      <c r="R7" s="802">
        <v>2022</v>
      </c>
      <c r="S7" s="802">
        <v>2022</v>
      </c>
      <c r="T7" s="802">
        <v>2022</v>
      </c>
      <c r="U7" s="802">
        <v>2022</v>
      </c>
      <c r="V7" s="802">
        <v>2022</v>
      </c>
      <c r="W7" s="802">
        <v>2022</v>
      </c>
      <c r="X7" s="802">
        <v>2022</v>
      </c>
      <c r="Y7" s="802">
        <v>2022</v>
      </c>
      <c r="Z7" s="802">
        <v>2022</v>
      </c>
      <c r="AA7" s="802">
        <v>2022</v>
      </c>
      <c r="AB7" s="802">
        <v>2022</v>
      </c>
      <c r="AC7" s="802">
        <v>2022</v>
      </c>
      <c r="AD7" s="959"/>
      <c r="AE7" s="959"/>
      <c r="AF7" s="959"/>
      <c r="AG7" s="959"/>
      <c r="AH7" s="959"/>
      <c r="AI7" s="959"/>
      <c r="AJ7" s="959"/>
      <c r="AK7" s="959"/>
      <c r="AL7" s="959"/>
      <c r="AM7" s="959"/>
      <c r="AN7" s="959"/>
    </row>
    <row r="8" spans="1:42" ht="15.6">
      <c r="A8" s="803">
        <v>1</v>
      </c>
      <c r="B8" s="803"/>
      <c r="C8" s="804" t="s">
        <v>964</v>
      </c>
      <c r="D8" s="804">
        <v>14965794</v>
      </c>
      <c r="E8" s="805"/>
      <c r="F8" s="804">
        <f>15*12</f>
        <v>180</v>
      </c>
      <c r="G8" s="805"/>
      <c r="H8" s="806">
        <f t="shared" ref="H8:H17" si="0">IFERROR(D8/F8,0)</f>
        <v>83143.3</v>
      </c>
      <c r="I8" s="807"/>
      <c r="J8" s="808">
        <v>12</v>
      </c>
      <c r="K8" s="807"/>
      <c r="L8" s="809">
        <f t="shared" ref="L8:L17" si="1">IFERROR(H8*J8,0)</f>
        <v>997719.60000000009</v>
      </c>
      <c r="M8" s="810"/>
      <c r="N8" s="811">
        <v>1</v>
      </c>
      <c r="O8" s="807"/>
      <c r="P8" s="806">
        <f t="shared" ref="P8:P17" si="2">IFERROR(L8*N8,0)</f>
        <v>997719.60000000009</v>
      </c>
      <c r="Q8" s="812">
        <v>13571132.193548376</v>
      </c>
      <c r="R8" s="812">
        <v>13487988.893548375</v>
      </c>
      <c r="S8" s="812">
        <v>13404845.593548374</v>
      </c>
      <c r="T8" s="812">
        <v>13321702.293548374</v>
      </c>
      <c r="U8" s="812">
        <v>13238558.993548373</v>
      </c>
      <c r="V8" s="812">
        <v>13155415.693548372</v>
      </c>
      <c r="W8" s="812">
        <v>13072272.393548371</v>
      </c>
      <c r="X8" s="812">
        <v>12989129.093548371</v>
      </c>
      <c r="Y8" s="812">
        <v>12905985.79354837</v>
      </c>
      <c r="Z8" s="812">
        <v>12822842.493548369</v>
      </c>
      <c r="AA8" s="812">
        <v>12739699.193548368</v>
      </c>
      <c r="AB8" s="812">
        <v>12656555.893548368</v>
      </c>
      <c r="AC8" s="812">
        <v>12573412.593548367</v>
      </c>
      <c r="AD8" s="806">
        <f>SUM(Q8:AC8)/13</f>
        <v>13072272.393548371</v>
      </c>
      <c r="AE8" s="807"/>
      <c r="AF8" s="811">
        <v>1</v>
      </c>
      <c r="AG8" s="748"/>
      <c r="AH8" s="813">
        <f t="shared" ref="AH8:AH17" si="3">N8</f>
        <v>1</v>
      </c>
      <c r="AI8" s="748"/>
      <c r="AJ8" s="806">
        <f>+AD8*AF8*AH8</f>
        <v>13072272.393548371</v>
      </c>
      <c r="AK8" s="748"/>
      <c r="AL8" s="814"/>
      <c r="AM8" s="748"/>
      <c r="AN8" s="741" t="s">
        <v>965</v>
      </c>
      <c r="AP8" s="691"/>
    </row>
    <row r="9" spans="1:42" ht="15.6">
      <c r="A9" s="748" t="s">
        <v>257</v>
      </c>
      <c r="B9" s="748"/>
      <c r="C9" s="738"/>
      <c r="D9" s="750"/>
      <c r="E9" s="752"/>
      <c r="F9" s="750"/>
      <c r="G9" s="752"/>
      <c r="H9" s="751">
        <f t="shared" si="0"/>
        <v>0</v>
      </c>
      <c r="I9" s="748"/>
      <c r="J9" s="750"/>
      <c r="K9" s="748"/>
      <c r="L9" s="815">
        <f t="shared" si="1"/>
        <v>0</v>
      </c>
      <c r="M9" s="816"/>
      <c r="N9" s="817"/>
      <c r="O9" s="748"/>
      <c r="P9" s="751">
        <f t="shared" si="2"/>
        <v>0</v>
      </c>
      <c r="Q9" s="818"/>
      <c r="R9" s="818"/>
      <c r="S9" s="818"/>
      <c r="T9" s="818"/>
      <c r="U9" s="818"/>
      <c r="V9" s="818"/>
      <c r="W9" s="818"/>
      <c r="X9" s="818"/>
      <c r="Y9" s="818"/>
      <c r="Z9" s="818"/>
      <c r="AA9" s="818"/>
      <c r="AB9" s="818"/>
      <c r="AC9" s="818"/>
      <c r="AD9" s="819">
        <f t="shared" ref="AD9:AD13" si="4">SUM(Q9:AC9)/13</f>
        <v>0</v>
      </c>
      <c r="AE9" s="748"/>
      <c r="AF9" s="753">
        <v>0</v>
      </c>
      <c r="AG9" s="748"/>
      <c r="AH9" s="813">
        <f t="shared" si="3"/>
        <v>0</v>
      </c>
      <c r="AI9" s="748"/>
      <c r="AJ9" s="806">
        <f t="shared" ref="AJ9:AJ17" si="5">+AD9*AF9*AH9</f>
        <v>0</v>
      </c>
      <c r="AK9" s="748"/>
      <c r="AL9" s="741"/>
      <c r="AM9" s="748"/>
      <c r="AN9" s="741"/>
      <c r="AP9" s="691"/>
    </row>
    <row r="10" spans="1:42" ht="15.6">
      <c r="A10" s="748" t="s">
        <v>856</v>
      </c>
      <c r="B10" s="748"/>
      <c r="C10" s="738"/>
      <c r="D10" s="750"/>
      <c r="E10" s="752"/>
      <c r="F10" s="750"/>
      <c r="G10" s="752"/>
      <c r="H10" s="751">
        <f t="shared" si="0"/>
        <v>0</v>
      </c>
      <c r="I10" s="748"/>
      <c r="J10" s="750"/>
      <c r="K10" s="748"/>
      <c r="L10" s="815">
        <f t="shared" si="1"/>
        <v>0</v>
      </c>
      <c r="M10" s="816"/>
      <c r="N10" s="817"/>
      <c r="O10" s="748"/>
      <c r="P10" s="751">
        <f t="shared" si="2"/>
        <v>0</v>
      </c>
      <c r="Q10" s="818"/>
      <c r="R10" s="818"/>
      <c r="S10" s="818"/>
      <c r="T10" s="818"/>
      <c r="U10" s="818"/>
      <c r="V10" s="818"/>
      <c r="W10" s="818"/>
      <c r="X10" s="818"/>
      <c r="Y10" s="818"/>
      <c r="Z10" s="818"/>
      <c r="AA10" s="818"/>
      <c r="AB10" s="818"/>
      <c r="AC10" s="818"/>
      <c r="AD10" s="819">
        <f t="shared" si="4"/>
        <v>0</v>
      </c>
      <c r="AE10" s="748"/>
      <c r="AF10" s="753">
        <v>0</v>
      </c>
      <c r="AG10" s="748"/>
      <c r="AH10" s="813">
        <f t="shared" si="3"/>
        <v>0</v>
      </c>
      <c r="AI10" s="748"/>
      <c r="AJ10" s="806">
        <f t="shared" si="5"/>
        <v>0</v>
      </c>
      <c r="AK10" s="748"/>
      <c r="AL10" s="741"/>
      <c r="AM10" s="748"/>
      <c r="AN10" s="741"/>
      <c r="AP10" s="691"/>
    </row>
    <row r="11" spans="1:42" ht="15.6">
      <c r="A11" s="748" t="s">
        <v>857</v>
      </c>
      <c r="B11" s="748"/>
      <c r="C11" s="738"/>
      <c r="D11" s="750"/>
      <c r="E11" s="752"/>
      <c r="F11" s="750"/>
      <c r="G11" s="752"/>
      <c r="H11" s="751">
        <f t="shared" si="0"/>
        <v>0</v>
      </c>
      <c r="I11" s="748"/>
      <c r="J11" s="750"/>
      <c r="K11" s="748"/>
      <c r="L11" s="815">
        <f t="shared" si="1"/>
        <v>0</v>
      </c>
      <c r="M11" s="816"/>
      <c r="N11" s="817"/>
      <c r="O11" s="748"/>
      <c r="P11" s="751">
        <f t="shared" si="2"/>
        <v>0</v>
      </c>
      <c r="Q11" s="818"/>
      <c r="R11" s="818"/>
      <c r="S11" s="818"/>
      <c r="T11" s="818"/>
      <c r="U11" s="818"/>
      <c r="V11" s="818"/>
      <c r="W11" s="818"/>
      <c r="X11" s="818"/>
      <c r="Y11" s="818"/>
      <c r="Z11" s="818"/>
      <c r="AA11" s="818"/>
      <c r="AB11" s="818"/>
      <c r="AC11" s="818"/>
      <c r="AD11" s="819">
        <f t="shared" si="4"/>
        <v>0</v>
      </c>
      <c r="AE11" s="748"/>
      <c r="AF11" s="753">
        <v>0</v>
      </c>
      <c r="AG11" s="748"/>
      <c r="AH11" s="813">
        <f t="shared" si="3"/>
        <v>0</v>
      </c>
      <c r="AI11" s="748"/>
      <c r="AJ11" s="806">
        <f t="shared" si="5"/>
        <v>0</v>
      </c>
      <c r="AK11" s="748"/>
      <c r="AL11" s="741"/>
      <c r="AM11" s="748"/>
      <c r="AN11" s="741"/>
      <c r="AP11" s="691"/>
    </row>
    <row r="12" spans="1:42" ht="15.6">
      <c r="A12" s="748" t="s">
        <v>259</v>
      </c>
      <c r="B12" s="748"/>
      <c r="C12" s="738"/>
      <c r="D12" s="750"/>
      <c r="E12" s="752"/>
      <c r="F12" s="750"/>
      <c r="G12" s="752"/>
      <c r="H12" s="751">
        <f t="shared" si="0"/>
        <v>0</v>
      </c>
      <c r="I12" s="748"/>
      <c r="J12" s="750"/>
      <c r="K12" s="748"/>
      <c r="L12" s="815">
        <f t="shared" si="1"/>
        <v>0</v>
      </c>
      <c r="M12" s="816"/>
      <c r="N12" s="817"/>
      <c r="O12" s="748"/>
      <c r="P12" s="751">
        <f t="shared" si="2"/>
        <v>0</v>
      </c>
      <c r="Q12" s="818"/>
      <c r="R12" s="818"/>
      <c r="S12" s="818"/>
      <c r="T12" s="818"/>
      <c r="U12" s="818"/>
      <c r="V12" s="818"/>
      <c r="W12" s="818"/>
      <c r="X12" s="818"/>
      <c r="Y12" s="818"/>
      <c r="Z12" s="818"/>
      <c r="AA12" s="818"/>
      <c r="AB12" s="818"/>
      <c r="AC12" s="818"/>
      <c r="AD12" s="819">
        <f t="shared" si="4"/>
        <v>0</v>
      </c>
      <c r="AE12" s="748"/>
      <c r="AF12" s="753">
        <v>0</v>
      </c>
      <c r="AG12" s="748"/>
      <c r="AH12" s="813">
        <f t="shared" si="3"/>
        <v>0</v>
      </c>
      <c r="AI12" s="748"/>
      <c r="AJ12" s="806">
        <f t="shared" si="5"/>
        <v>0</v>
      </c>
      <c r="AK12" s="748"/>
      <c r="AL12" s="741"/>
      <c r="AM12" s="748"/>
      <c r="AN12" s="741"/>
      <c r="AP12" s="691"/>
    </row>
    <row r="13" spans="1:42" ht="15.6">
      <c r="A13" s="748" t="s">
        <v>259</v>
      </c>
      <c r="B13" s="748"/>
      <c r="C13" s="738"/>
      <c r="D13" s="750"/>
      <c r="E13" s="752"/>
      <c r="F13" s="750"/>
      <c r="G13" s="752"/>
      <c r="H13" s="751">
        <f t="shared" si="0"/>
        <v>0</v>
      </c>
      <c r="I13" s="748"/>
      <c r="J13" s="750"/>
      <c r="K13" s="748"/>
      <c r="L13" s="815">
        <f t="shared" si="1"/>
        <v>0</v>
      </c>
      <c r="M13" s="816"/>
      <c r="N13" s="817"/>
      <c r="O13" s="748"/>
      <c r="P13" s="751">
        <f t="shared" si="2"/>
        <v>0</v>
      </c>
      <c r="Q13" s="818"/>
      <c r="R13" s="818"/>
      <c r="S13" s="818"/>
      <c r="T13" s="818"/>
      <c r="U13" s="818"/>
      <c r="V13" s="818"/>
      <c r="W13" s="818"/>
      <c r="X13" s="818"/>
      <c r="Y13" s="818"/>
      <c r="Z13" s="818"/>
      <c r="AA13" s="818"/>
      <c r="AB13" s="818"/>
      <c r="AC13" s="818"/>
      <c r="AD13" s="819">
        <f t="shared" si="4"/>
        <v>0</v>
      </c>
      <c r="AE13" s="748"/>
      <c r="AF13" s="753">
        <v>0</v>
      </c>
      <c r="AG13" s="748"/>
      <c r="AH13" s="813">
        <f t="shared" si="3"/>
        <v>0</v>
      </c>
      <c r="AI13" s="748"/>
      <c r="AJ13" s="806">
        <f t="shared" si="5"/>
        <v>0</v>
      </c>
      <c r="AK13" s="748"/>
      <c r="AL13" s="741"/>
      <c r="AM13" s="748"/>
      <c r="AN13" s="741"/>
      <c r="AP13" s="691"/>
    </row>
    <row r="14" spans="1:42" ht="15.6">
      <c r="A14" s="748" t="s">
        <v>259</v>
      </c>
      <c r="B14" s="748"/>
      <c r="C14" s="738"/>
      <c r="D14" s="750"/>
      <c r="E14" s="752"/>
      <c r="F14" s="750"/>
      <c r="G14" s="752"/>
      <c r="H14" s="751">
        <f t="shared" si="0"/>
        <v>0</v>
      </c>
      <c r="I14" s="748"/>
      <c r="J14" s="750"/>
      <c r="K14" s="748"/>
      <c r="L14" s="815">
        <f t="shared" si="1"/>
        <v>0</v>
      </c>
      <c r="M14" s="816"/>
      <c r="N14" s="817"/>
      <c r="O14" s="748"/>
      <c r="P14" s="751">
        <f t="shared" si="2"/>
        <v>0</v>
      </c>
      <c r="Q14" s="818"/>
      <c r="R14" s="818"/>
      <c r="S14" s="818"/>
      <c r="T14" s="818"/>
      <c r="U14" s="818"/>
      <c r="V14" s="818"/>
      <c r="W14" s="818"/>
      <c r="X14" s="818"/>
      <c r="Y14" s="818"/>
      <c r="Z14" s="818"/>
      <c r="AA14" s="818"/>
      <c r="AB14" s="818"/>
      <c r="AC14" s="818"/>
      <c r="AD14" s="819">
        <f t="shared" ref="AD14:AD17" si="6">SUM(Q14:AC14)/13</f>
        <v>0</v>
      </c>
      <c r="AE14" s="748"/>
      <c r="AF14" s="753">
        <v>0</v>
      </c>
      <c r="AG14" s="748"/>
      <c r="AH14" s="813">
        <f t="shared" si="3"/>
        <v>0</v>
      </c>
      <c r="AI14" s="748"/>
      <c r="AJ14" s="806">
        <f t="shared" si="5"/>
        <v>0</v>
      </c>
      <c r="AK14" s="748"/>
      <c r="AL14" s="741"/>
      <c r="AM14" s="748"/>
      <c r="AN14" s="741"/>
      <c r="AP14" s="691"/>
    </row>
    <row r="15" spans="1:42" ht="15.6">
      <c r="A15" s="748" t="s">
        <v>259</v>
      </c>
      <c r="B15" s="748"/>
      <c r="C15" s="738"/>
      <c r="D15" s="750"/>
      <c r="E15" s="752"/>
      <c r="F15" s="750"/>
      <c r="G15" s="752"/>
      <c r="H15" s="751">
        <f t="shared" si="0"/>
        <v>0</v>
      </c>
      <c r="I15" s="748"/>
      <c r="J15" s="750"/>
      <c r="K15" s="748"/>
      <c r="L15" s="815">
        <f t="shared" si="1"/>
        <v>0</v>
      </c>
      <c r="M15" s="816"/>
      <c r="N15" s="817"/>
      <c r="O15" s="748"/>
      <c r="P15" s="751">
        <f t="shared" si="2"/>
        <v>0</v>
      </c>
      <c r="Q15" s="818"/>
      <c r="R15" s="818"/>
      <c r="S15" s="818"/>
      <c r="T15" s="818"/>
      <c r="U15" s="818"/>
      <c r="V15" s="818"/>
      <c r="W15" s="818"/>
      <c r="X15" s="818"/>
      <c r="Y15" s="818"/>
      <c r="Z15" s="818"/>
      <c r="AA15" s="818"/>
      <c r="AB15" s="818"/>
      <c r="AC15" s="818"/>
      <c r="AD15" s="819">
        <f t="shared" si="6"/>
        <v>0</v>
      </c>
      <c r="AE15" s="748"/>
      <c r="AF15" s="753">
        <v>0</v>
      </c>
      <c r="AG15" s="748"/>
      <c r="AH15" s="813">
        <f t="shared" si="3"/>
        <v>0</v>
      </c>
      <c r="AI15" s="748"/>
      <c r="AJ15" s="806">
        <f t="shared" si="5"/>
        <v>0</v>
      </c>
      <c r="AK15" s="748"/>
      <c r="AL15" s="741"/>
      <c r="AM15" s="748"/>
      <c r="AN15" s="741"/>
      <c r="AP15" s="691"/>
    </row>
    <row r="16" spans="1:42" ht="15.6">
      <c r="A16" s="748" t="s">
        <v>259</v>
      </c>
      <c r="B16" s="748"/>
      <c r="C16" s="738"/>
      <c r="D16" s="750"/>
      <c r="E16" s="752"/>
      <c r="F16" s="750"/>
      <c r="G16" s="752"/>
      <c r="H16" s="751">
        <f t="shared" si="0"/>
        <v>0</v>
      </c>
      <c r="I16" s="748"/>
      <c r="J16" s="750"/>
      <c r="K16" s="748"/>
      <c r="L16" s="815">
        <f t="shared" si="1"/>
        <v>0</v>
      </c>
      <c r="M16" s="816"/>
      <c r="N16" s="817"/>
      <c r="O16" s="748"/>
      <c r="P16" s="751">
        <f t="shared" si="2"/>
        <v>0</v>
      </c>
      <c r="Q16" s="818"/>
      <c r="R16" s="818"/>
      <c r="S16" s="818"/>
      <c r="T16" s="818"/>
      <c r="U16" s="818"/>
      <c r="V16" s="818"/>
      <c r="W16" s="818"/>
      <c r="X16" s="818"/>
      <c r="Y16" s="818"/>
      <c r="Z16" s="818"/>
      <c r="AA16" s="818"/>
      <c r="AB16" s="818"/>
      <c r="AC16" s="818"/>
      <c r="AD16" s="819">
        <f t="shared" si="6"/>
        <v>0</v>
      </c>
      <c r="AE16" s="748"/>
      <c r="AF16" s="753">
        <v>0</v>
      </c>
      <c r="AG16" s="748"/>
      <c r="AH16" s="813">
        <f t="shared" si="3"/>
        <v>0</v>
      </c>
      <c r="AI16" s="748"/>
      <c r="AJ16" s="806">
        <f t="shared" si="5"/>
        <v>0</v>
      </c>
      <c r="AK16" s="748"/>
      <c r="AL16" s="741"/>
      <c r="AM16" s="748"/>
      <c r="AN16" s="741"/>
      <c r="AP16" s="691"/>
    </row>
    <row r="17" spans="1:42" ht="15.6">
      <c r="A17" s="748" t="s">
        <v>261</v>
      </c>
      <c r="B17" s="748"/>
      <c r="C17" s="738"/>
      <c r="D17" s="750"/>
      <c r="E17" s="760"/>
      <c r="F17" s="791"/>
      <c r="G17" s="760"/>
      <c r="H17" s="790">
        <f t="shared" si="0"/>
        <v>0</v>
      </c>
      <c r="I17" s="820"/>
      <c r="J17" s="791"/>
      <c r="K17" s="820"/>
      <c r="L17" s="815">
        <f t="shared" si="1"/>
        <v>0</v>
      </c>
      <c r="M17" s="821"/>
      <c r="N17" s="822"/>
      <c r="O17" s="820"/>
      <c r="P17" s="790">
        <f t="shared" si="2"/>
        <v>0</v>
      </c>
      <c r="Q17" s="823"/>
      <c r="R17" s="823"/>
      <c r="S17" s="823"/>
      <c r="T17" s="823"/>
      <c r="U17" s="823"/>
      <c r="V17" s="823"/>
      <c r="W17" s="823"/>
      <c r="X17" s="823"/>
      <c r="Y17" s="823"/>
      <c r="Z17" s="823"/>
      <c r="AA17" s="823"/>
      <c r="AB17" s="823"/>
      <c r="AC17" s="823"/>
      <c r="AD17" s="824">
        <f t="shared" si="6"/>
        <v>0</v>
      </c>
      <c r="AE17" s="820"/>
      <c r="AF17" s="825">
        <v>0</v>
      </c>
      <c r="AG17" s="820"/>
      <c r="AH17" s="826">
        <f t="shared" si="3"/>
        <v>0</v>
      </c>
      <c r="AI17" s="820"/>
      <c r="AJ17" s="806">
        <f t="shared" si="5"/>
        <v>0</v>
      </c>
      <c r="AK17" s="820"/>
      <c r="AL17" s="827"/>
      <c r="AM17" s="828"/>
      <c r="AN17" s="829"/>
      <c r="AP17" s="691"/>
    </row>
    <row r="18" spans="1:42" ht="15" customHeight="1">
      <c r="A18" s="727">
        <v>2</v>
      </c>
      <c r="B18" s="727"/>
      <c r="C18" s="727"/>
      <c r="D18" s="727"/>
      <c r="E18" s="967" t="s">
        <v>966</v>
      </c>
      <c r="F18" s="967"/>
      <c r="G18" s="967"/>
      <c r="H18" s="967"/>
      <c r="I18" s="967"/>
      <c r="J18" s="967"/>
      <c r="K18" s="967"/>
      <c r="L18" s="967"/>
      <c r="M18" s="967"/>
      <c r="N18" s="967"/>
      <c r="O18" s="967"/>
      <c r="P18" s="830">
        <f>SUM(P8:P17)</f>
        <v>997719.60000000009</v>
      </c>
      <c r="Q18" s="831">
        <f>SUM(Q8:Q17)</f>
        <v>13571132.193548376</v>
      </c>
      <c r="R18" s="727"/>
      <c r="S18" s="832" t="s">
        <v>967</v>
      </c>
      <c r="T18" s="832"/>
      <c r="U18" s="832"/>
      <c r="V18" s="832"/>
      <c r="W18" s="832"/>
      <c r="X18" s="832"/>
      <c r="Y18" s="832"/>
      <c r="Z18" s="832"/>
      <c r="AA18" s="832"/>
      <c r="AB18" s="727"/>
      <c r="AC18" s="831">
        <f>SUM(AC8:AC17)</f>
        <v>12573412.593548367</v>
      </c>
      <c r="AD18" s="833" t="s">
        <v>968</v>
      </c>
      <c r="AE18" s="833"/>
      <c r="AF18" s="833"/>
      <c r="AG18" s="833"/>
      <c r="AH18" s="833"/>
      <c r="AI18" s="833"/>
      <c r="AJ18" s="793">
        <f>SUM(AJ8:AJ17)</f>
        <v>13072272.393548371</v>
      </c>
      <c r="AK18" s="834"/>
      <c r="AL18" s="801"/>
      <c r="AM18" s="727"/>
      <c r="AN18" s="727"/>
      <c r="AP18" s="691"/>
    </row>
    <row r="19" spans="1:42" ht="15.6">
      <c r="A19" s="727"/>
      <c r="B19" s="727"/>
      <c r="C19" s="727"/>
      <c r="D19" s="759"/>
      <c r="E19" s="763"/>
      <c r="F19" s="764"/>
      <c r="G19" s="758"/>
      <c r="H19" s="759"/>
      <c r="I19" s="758"/>
      <c r="J19" s="727"/>
      <c r="K19" s="727"/>
      <c r="L19" s="759"/>
      <c r="M19" s="727"/>
      <c r="N19" s="727"/>
      <c r="O19" s="727"/>
      <c r="P19" s="727"/>
      <c r="Q19" s="727"/>
      <c r="R19" s="727"/>
      <c r="S19" s="727"/>
      <c r="T19" s="727"/>
      <c r="U19" s="727"/>
      <c r="V19" s="727"/>
      <c r="W19" s="727"/>
      <c r="X19" s="727"/>
      <c r="Y19" s="727"/>
      <c r="Z19" s="727"/>
      <c r="AA19" s="727"/>
      <c r="AB19" s="727"/>
      <c r="AC19" s="727"/>
      <c r="AD19" s="727"/>
      <c r="AE19" s="727"/>
      <c r="AF19" s="764"/>
      <c r="AG19" s="727"/>
      <c r="AH19" s="727"/>
      <c r="AI19" s="727"/>
      <c r="AJ19" s="727"/>
      <c r="AK19" s="727"/>
      <c r="AL19" s="727"/>
      <c r="AM19" s="727"/>
      <c r="AN19" s="801"/>
    </row>
    <row r="20" spans="1:42" ht="15.6">
      <c r="A20" s="727"/>
      <c r="B20" s="727"/>
      <c r="C20" s="727" t="s">
        <v>969</v>
      </c>
      <c r="D20" s="759"/>
      <c r="E20" s="763"/>
      <c r="F20" s="764"/>
      <c r="G20" s="758"/>
      <c r="H20" s="759"/>
      <c r="I20" s="758"/>
      <c r="J20" s="727"/>
      <c r="K20" s="727"/>
      <c r="L20" s="759"/>
      <c r="M20" s="727"/>
      <c r="N20" s="727"/>
      <c r="O20" s="727"/>
      <c r="P20" s="727"/>
      <c r="Q20" s="832"/>
      <c r="R20" s="832"/>
      <c r="S20" s="832"/>
      <c r="T20" s="727"/>
      <c r="U20" s="727"/>
      <c r="V20" s="727"/>
      <c r="W20" s="727"/>
      <c r="X20" s="727"/>
      <c r="Y20" s="727"/>
      <c r="Z20" s="727"/>
      <c r="AA20" s="727"/>
      <c r="AB20" s="727"/>
      <c r="AC20" s="832"/>
      <c r="AD20" s="727"/>
      <c r="AE20" s="727"/>
      <c r="AF20" s="727"/>
      <c r="AG20" s="727" t="s">
        <v>860</v>
      </c>
      <c r="AH20" s="801"/>
      <c r="AI20" s="727"/>
      <c r="AJ20" s="727"/>
      <c r="AK20" s="727"/>
      <c r="AL20" s="727"/>
      <c r="AM20" s="727"/>
      <c r="AN20" s="727"/>
      <c r="AP20" s="691"/>
    </row>
    <row r="21" spans="1:42" ht="21" customHeight="1">
      <c r="A21" s="766"/>
      <c r="B21" s="766" t="s">
        <v>38</v>
      </c>
      <c r="C21" s="957" t="s">
        <v>970</v>
      </c>
      <c r="D21" s="957"/>
      <c r="E21" s="957"/>
      <c r="F21" s="957"/>
      <c r="G21" s="957"/>
      <c r="H21" s="957"/>
      <c r="I21" s="957"/>
      <c r="J21" s="957"/>
      <c r="K21" s="957"/>
      <c r="L21" s="770"/>
      <c r="M21" s="770"/>
      <c r="N21" s="770"/>
      <c r="O21" s="770"/>
      <c r="P21" s="835"/>
      <c r="Q21" s="836"/>
      <c r="R21" s="836"/>
      <c r="S21" s="836"/>
      <c r="T21" s="772"/>
      <c r="U21" s="772"/>
      <c r="V21" s="772"/>
      <c r="W21" s="772"/>
      <c r="X21" s="772"/>
      <c r="Y21" s="772"/>
      <c r="Z21" s="772"/>
      <c r="AA21" s="772"/>
      <c r="AB21" s="772"/>
      <c r="AC21" s="772"/>
      <c r="AD21" s="727"/>
      <c r="AE21" s="727"/>
      <c r="AF21" s="767" t="s">
        <v>39</v>
      </c>
      <c r="AG21" s="771" t="s">
        <v>971</v>
      </c>
      <c r="AH21" s="767"/>
      <c r="AI21" s="772"/>
      <c r="AJ21" s="772"/>
      <c r="AK21" s="772"/>
      <c r="AL21" s="772"/>
      <c r="AM21" s="772"/>
      <c r="AN21" s="727"/>
      <c r="AP21" s="691"/>
    </row>
    <row r="22" spans="1:42" ht="17.25" customHeight="1">
      <c r="A22" s="766"/>
      <c r="B22" s="766"/>
      <c r="C22" s="957"/>
      <c r="D22" s="957"/>
      <c r="E22" s="957"/>
      <c r="F22" s="957"/>
      <c r="G22" s="957"/>
      <c r="H22" s="957"/>
      <c r="I22" s="957"/>
      <c r="J22" s="957"/>
      <c r="K22" s="957"/>
      <c r="L22" s="770"/>
      <c r="M22" s="770"/>
      <c r="N22" s="770"/>
      <c r="O22" s="770"/>
      <c r="P22" s="837"/>
      <c r="Q22" s="772"/>
      <c r="R22" s="772"/>
      <c r="S22" s="772"/>
      <c r="T22" s="772"/>
      <c r="U22" s="772"/>
      <c r="V22" s="772"/>
      <c r="W22" s="772"/>
      <c r="X22" s="772"/>
      <c r="Y22" s="772"/>
      <c r="Z22" s="772"/>
      <c r="AA22" s="772"/>
      <c r="AB22" s="772"/>
      <c r="AC22" s="772"/>
      <c r="AD22" s="727"/>
      <c r="AE22" s="727"/>
      <c r="AF22" s="767"/>
      <c r="AG22" s="727"/>
      <c r="AH22" s="767"/>
      <c r="AI22" s="727"/>
      <c r="AJ22" s="727"/>
      <c r="AK22" s="772"/>
      <c r="AL22" s="772"/>
      <c r="AM22" s="772"/>
      <c r="AN22" s="727"/>
      <c r="AP22" s="691"/>
    </row>
    <row r="23" spans="1:42" ht="11.25" customHeight="1">
      <c r="A23" s="766"/>
      <c r="B23" s="766"/>
      <c r="C23" s="769"/>
      <c r="D23" s="769"/>
      <c r="E23" s="769"/>
      <c r="F23" s="769"/>
      <c r="G23" s="769"/>
      <c r="H23" s="769"/>
      <c r="I23" s="769"/>
      <c r="J23" s="769"/>
      <c r="K23" s="770"/>
      <c r="L23" s="770"/>
      <c r="M23" s="770"/>
      <c r="N23" s="770"/>
      <c r="O23" s="770"/>
      <c r="P23" s="770"/>
      <c r="Q23" s="727"/>
      <c r="R23" s="727"/>
      <c r="S23" s="727"/>
      <c r="T23" s="727"/>
      <c r="U23" s="727"/>
      <c r="V23" s="727"/>
      <c r="W23" s="727"/>
      <c r="X23" s="727"/>
      <c r="Y23" s="727"/>
      <c r="Z23" s="727"/>
      <c r="AA23" s="727"/>
      <c r="AB23" s="727"/>
      <c r="AC23" s="727"/>
      <c r="AD23" s="727"/>
      <c r="AE23" s="727"/>
      <c r="AF23" s="727"/>
      <c r="AG23" s="727"/>
      <c r="AH23" s="727"/>
      <c r="AI23" s="727"/>
      <c r="AJ23" s="727"/>
      <c r="AK23" s="727"/>
      <c r="AL23" s="727"/>
      <c r="AM23" s="727"/>
      <c r="AN23" s="727"/>
      <c r="AP23" s="691"/>
    </row>
    <row r="24" spans="1:42" ht="15.6">
      <c r="A24" s="766"/>
      <c r="B24" s="766"/>
      <c r="C24" s="769"/>
      <c r="D24" s="769"/>
      <c r="E24" s="769"/>
      <c r="F24" s="769"/>
      <c r="G24" s="769"/>
      <c r="H24" s="769"/>
      <c r="I24" s="769"/>
      <c r="J24" s="769"/>
      <c r="K24" s="770"/>
      <c r="L24" s="770"/>
      <c r="M24" s="770"/>
      <c r="N24" s="770"/>
      <c r="O24" s="770"/>
      <c r="P24" s="770"/>
      <c r="Q24" s="727"/>
      <c r="R24" s="727"/>
      <c r="S24" s="727"/>
      <c r="T24" s="727"/>
      <c r="U24" s="727"/>
      <c r="V24" s="727"/>
      <c r="W24" s="727"/>
      <c r="X24" s="727"/>
      <c r="Y24" s="727"/>
      <c r="Z24" s="727"/>
      <c r="AA24" s="727"/>
      <c r="AB24" s="727"/>
      <c r="AC24" s="727"/>
      <c r="AD24" s="727"/>
      <c r="AE24" s="727"/>
      <c r="AF24" s="727"/>
      <c r="AG24" s="727"/>
      <c r="AH24" s="727"/>
      <c r="AI24" s="727"/>
      <c r="AJ24" s="727"/>
      <c r="AK24" s="727"/>
      <c r="AL24" s="727"/>
      <c r="AM24" s="727"/>
      <c r="AN24" s="727"/>
      <c r="AP24" s="691"/>
    </row>
    <row r="25" spans="1:42" ht="15.6">
      <c r="A25" s="766"/>
      <c r="B25" s="766"/>
      <c r="C25" s="769"/>
      <c r="D25" s="769"/>
      <c r="E25" s="769"/>
      <c r="F25" s="769"/>
      <c r="G25" s="769"/>
      <c r="H25" s="769"/>
      <c r="I25" s="769"/>
      <c r="J25" s="769"/>
      <c r="K25" s="727"/>
      <c r="L25" s="759"/>
      <c r="M25" s="772"/>
      <c r="N25" s="727"/>
      <c r="O25" s="727"/>
      <c r="P25" s="727"/>
      <c r="Q25" s="727"/>
      <c r="R25" s="727"/>
      <c r="S25" s="727"/>
      <c r="T25" s="727"/>
      <c r="U25" s="727"/>
      <c r="V25" s="727"/>
      <c r="W25" s="727"/>
      <c r="X25" s="727"/>
      <c r="Y25" s="727"/>
      <c r="Z25" s="727"/>
      <c r="AA25" s="727"/>
      <c r="AB25" s="727"/>
      <c r="AC25" s="727"/>
      <c r="AD25" s="727"/>
      <c r="AE25" s="727"/>
      <c r="AF25" s="727"/>
      <c r="AG25" s="727"/>
      <c r="AH25" s="727"/>
      <c r="AI25" s="727"/>
      <c r="AJ25" s="727"/>
      <c r="AK25" s="727"/>
      <c r="AL25" s="727"/>
      <c r="AM25" s="727"/>
      <c r="AN25" s="727"/>
      <c r="AP25" s="691"/>
    </row>
    <row r="26" spans="1:42">
      <c r="A26" s="714"/>
      <c r="B26" s="714"/>
      <c r="AF26" s="691"/>
      <c r="AN26" s="691"/>
      <c r="AP26" s="691"/>
    </row>
    <row r="27" spans="1:42">
      <c r="A27" s="714"/>
      <c r="B27" s="714"/>
      <c r="AF27" s="691"/>
      <c r="AN27" s="691"/>
      <c r="AP27" s="691"/>
    </row>
    <row r="28" spans="1:42">
      <c r="A28" s="714"/>
      <c r="B28" s="714"/>
      <c r="AF28" s="691"/>
      <c r="AN28" s="691"/>
      <c r="AP28" s="691"/>
    </row>
    <row r="29" spans="1:42">
      <c r="A29" s="714"/>
      <c r="B29" s="714"/>
      <c r="AF29" s="691"/>
      <c r="AN29" s="691"/>
      <c r="AP29" s="691"/>
    </row>
    <row r="30" spans="1:42">
      <c r="A30" s="714"/>
      <c r="B30" s="714"/>
      <c r="AN30" s="691"/>
      <c r="AP30" s="691"/>
    </row>
    <row r="31" spans="1:42">
      <c r="A31" s="714"/>
      <c r="B31" s="714"/>
      <c r="AN31" s="691"/>
      <c r="AP31" s="691"/>
    </row>
    <row r="32" spans="1:42">
      <c r="B32" s="714"/>
    </row>
  </sheetData>
  <mergeCells count="38">
    <mergeCell ref="A1:P1"/>
    <mergeCell ref="Q1:AC1"/>
    <mergeCell ref="AD1:AN1"/>
    <mergeCell ref="A2:P2"/>
    <mergeCell ref="Q2:AC2"/>
    <mergeCell ref="AD2:AN2"/>
    <mergeCell ref="M6:M7"/>
    <mergeCell ref="A3:P3"/>
    <mergeCell ref="Q3:AC3"/>
    <mergeCell ref="AD3:AN3"/>
    <mergeCell ref="A6:A7"/>
    <mergeCell ref="B6:B7"/>
    <mergeCell ref="C6:C7"/>
    <mergeCell ref="D6:D7"/>
    <mergeCell ref="E6:E7"/>
    <mergeCell ref="F6:F7"/>
    <mergeCell ref="G6:G7"/>
    <mergeCell ref="H6:H7"/>
    <mergeCell ref="I6:I7"/>
    <mergeCell ref="J6:J7"/>
    <mergeCell ref="K6:K7"/>
    <mergeCell ref="L6:L7"/>
    <mergeCell ref="AM6:AM7"/>
    <mergeCell ref="AN6:AN7"/>
    <mergeCell ref="E18:O18"/>
    <mergeCell ref="C21:K22"/>
    <mergeCell ref="AG6:AG7"/>
    <mergeCell ref="AH6:AH7"/>
    <mergeCell ref="AI6:AI7"/>
    <mergeCell ref="AJ6:AJ7"/>
    <mergeCell ref="AK6:AK7"/>
    <mergeCell ref="AL6:AL7"/>
    <mergeCell ref="N6:N7"/>
    <mergeCell ref="O6:O7"/>
    <mergeCell ref="P6:P7"/>
    <mergeCell ref="AD6:AD7"/>
    <mergeCell ref="AE6:AE7"/>
    <mergeCell ref="AF6:AF7"/>
  </mergeCells>
  <pageMargins left="0.7" right="0.7" top="0.75" bottom="0.75" header="0.3" footer="0.3"/>
  <pageSetup scale="32" orientation="landscape" r:id="rId1"/>
  <headerFooter>
    <oddFooter>&amp;R&amp;"Arial,Regular"Page &amp;P of &amp;N</oddFooter>
  </headerFooter>
  <colBreaks count="2" manualBreakCount="2">
    <brk id="16" max="1048575" man="1"/>
    <brk id="29" max="1048575" man="1"/>
  </col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BFC59-716B-4929-8058-B42DB53C6A08}">
  <sheetPr>
    <tabColor rgb="FF92D050"/>
    <pageSetUpPr fitToPage="1"/>
  </sheetPr>
  <dimension ref="A1:I264"/>
  <sheetViews>
    <sheetView view="pageBreakPreview" zoomScale="85" zoomScaleNormal="100" zoomScaleSheetLayoutView="85" workbookViewId="0">
      <selection activeCell="E43" sqref="E43"/>
    </sheetView>
  </sheetViews>
  <sheetFormatPr defaultColWidth="8.90625" defaultRowHeight="15.6"/>
  <cols>
    <col min="1" max="1" width="7.36328125" style="154" customWidth="1"/>
    <col min="2" max="2" width="57.81640625" style="154" customWidth="1"/>
    <col min="3" max="3" width="28.36328125" style="154" customWidth="1"/>
    <col min="4" max="4" width="10.90625" style="157" bestFit="1" customWidth="1"/>
    <col min="5" max="5" width="9.36328125" style="154" bestFit="1" customWidth="1"/>
    <col min="6" max="9" width="8.90625" style="154"/>
    <col min="10" max="16384" width="8.90625" style="167"/>
  </cols>
  <sheetData>
    <row r="1" spans="1:7">
      <c r="A1" s="869" t="s">
        <v>232</v>
      </c>
      <c r="B1" s="869"/>
      <c r="C1" s="869"/>
      <c r="D1" s="869"/>
    </row>
    <row r="2" spans="1:7">
      <c r="A2" s="870" t="s">
        <v>233</v>
      </c>
      <c r="B2" s="871"/>
      <c r="C2" s="871"/>
      <c r="D2" s="155"/>
    </row>
    <row r="5" spans="1:7">
      <c r="B5" s="156" t="s">
        <v>234</v>
      </c>
      <c r="C5" s="154" t="s">
        <v>235</v>
      </c>
    </row>
    <row r="6" spans="1:7">
      <c r="A6" s="154">
        <v>1</v>
      </c>
      <c r="B6" s="154" t="s">
        <v>236</v>
      </c>
      <c r="C6" s="154" t="s">
        <v>237</v>
      </c>
      <c r="D6" s="158">
        <f>+C46</f>
        <v>0</v>
      </c>
    </row>
    <row r="7" spans="1:7">
      <c r="D7" s="159"/>
    </row>
    <row r="8" spans="1:7">
      <c r="B8" s="156" t="s">
        <v>238</v>
      </c>
      <c r="C8" s="154" t="s">
        <v>235</v>
      </c>
      <c r="G8" s="157"/>
    </row>
    <row r="9" spans="1:7">
      <c r="A9" s="160">
        <f>+A6+1</f>
        <v>2</v>
      </c>
      <c r="B9" s="154" t="s">
        <v>239</v>
      </c>
      <c r="C9" s="154" t="s">
        <v>240</v>
      </c>
      <c r="D9" s="161"/>
      <c r="E9" s="162"/>
      <c r="G9" s="157"/>
    </row>
    <row r="10" spans="1:7">
      <c r="A10" s="160">
        <v>3</v>
      </c>
      <c r="B10" s="154" t="s">
        <v>241</v>
      </c>
      <c r="C10" s="154" t="s">
        <v>240</v>
      </c>
      <c r="D10" s="161">
        <v>0</v>
      </c>
      <c r="G10" s="157"/>
    </row>
    <row r="11" spans="1:7">
      <c r="A11" s="160">
        <v>4</v>
      </c>
      <c r="B11" s="154" t="s">
        <v>242</v>
      </c>
      <c r="C11" s="154" t="s">
        <v>240</v>
      </c>
      <c r="D11" s="161">
        <v>0</v>
      </c>
      <c r="G11" s="158"/>
    </row>
    <row r="12" spans="1:7">
      <c r="A12" s="160">
        <f>+A11+1</f>
        <v>5</v>
      </c>
      <c r="B12" s="154" t="s">
        <v>243</v>
      </c>
      <c r="C12" s="154" t="s">
        <v>240</v>
      </c>
      <c r="D12" s="161">
        <v>0</v>
      </c>
    </row>
    <row r="13" spans="1:7">
      <c r="A13" s="160">
        <f>+A12+1</f>
        <v>6</v>
      </c>
      <c r="B13" s="154" t="s">
        <v>244</v>
      </c>
      <c r="C13" s="154" t="s">
        <v>240</v>
      </c>
      <c r="D13" s="163">
        <v>0</v>
      </c>
    </row>
    <row r="14" spans="1:7">
      <c r="D14" s="164"/>
    </row>
    <row r="15" spans="1:7">
      <c r="A15" s="154">
        <f>+A13+1</f>
        <v>7</v>
      </c>
      <c r="B15" s="154" t="s">
        <v>245</v>
      </c>
      <c r="C15" s="154" t="str">
        <f>"Sum lines "&amp;A9&amp;"-"&amp;A13&amp;" + line "&amp;A6&amp;""</f>
        <v>Sum lines 2-6 + line 1</v>
      </c>
      <c r="D15" s="158">
        <f>SUM(D9:D14)+D6</f>
        <v>0</v>
      </c>
    </row>
    <row r="16" spans="1:7">
      <c r="D16" s="158"/>
    </row>
    <row r="17" spans="1:9">
      <c r="D17" s="165"/>
      <c r="E17" s="166"/>
    </row>
    <row r="18" spans="1:9" s="170" customFormat="1">
      <c r="A18" s="154"/>
      <c r="B18" s="154"/>
      <c r="C18" s="154"/>
      <c r="D18" s="168"/>
      <c r="E18" s="164"/>
      <c r="F18" s="169"/>
      <c r="G18" s="169"/>
      <c r="H18" s="169"/>
      <c r="I18" s="169"/>
    </row>
    <row r="19" spans="1:9" ht="87" customHeight="1">
      <c r="A19" s="160" t="s">
        <v>246</v>
      </c>
      <c r="B19" s="872" t="s">
        <v>247</v>
      </c>
      <c r="C19" s="872"/>
      <c r="D19" s="872"/>
      <c r="E19" s="872"/>
      <c r="F19" s="872"/>
    </row>
    <row r="20" spans="1:9" ht="38.25" customHeight="1">
      <c r="A20" s="160" t="s">
        <v>248</v>
      </c>
      <c r="B20" s="872" t="s">
        <v>249</v>
      </c>
      <c r="C20" s="872"/>
      <c r="D20" s="872"/>
      <c r="E20" s="872"/>
      <c r="F20" s="872"/>
    </row>
    <row r="21" spans="1:9">
      <c r="A21" s="160" t="s">
        <v>240</v>
      </c>
      <c r="B21" s="160" t="s">
        <v>250</v>
      </c>
      <c r="C21" s="160"/>
      <c r="D21" s="171"/>
      <c r="E21" s="160"/>
      <c r="F21" s="160"/>
    </row>
    <row r="22" spans="1:9">
      <c r="A22" s="20"/>
      <c r="B22" s="20"/>
      <c r="C22" s="20"/>
      <c r="D22" s="20"/>
      <c r="E22" s="20"/>
      <c r="F22" s="20"/>
      <c r="G22" s="20"/>
      <c r="H22" s="20"/>
    </row>
    <row r="23" spans="1:9">
      <c r="A23" s="172" t="s">
        <v>251</v>
      </c>
      <c r="B23" s="20"/>
      <c r="C23" s="20"/>
      <c r="D23" s="20"/>
      <c r="E23" s="20"/>
      <c r="F23" s="173"/>
      <c r="G23" s="173"/>
      <c r="H23" s="173"/>
    </row>
    <row r="24" spans="1:9">
      <c r="A24" s="147">
        <v>1</v>
      </c>
      <c r="B24" s="154" t="s">
        <v>252</v>
      </c>
      <c r="C24" s="174" t="s">
        <v>253</v>
      </c>
      <c r="D24" s="174" t="s">
        <v>254</v>
      </c>
      <c r="E24" s="174" t="s">
        <v>255</v>
      </c>
      <c r="F24" s="174" t="s">
        <v>256</v>
      </c>
    </row>
    <row r="25" spans="1:9">
      <c r="A25" s="147" t="s">
        <v>257</v>
      </c>
      <c r="B25" s="175" t="s">
        <v>258</v>
      </c>
      <c r="C25" s="176">
        <f>SUM(D25:F25)</f>
        <v>0</v>
      </c>
      <c r="D25" s="177">
        <v>0</v>
      </c>
      <c r="E25" s="177">
        <v>0</v>
      </c>
      <c r="F25" s="177">
        <v>0</v>
      </c>
    </row>
    <row r="26" spans="1:9">
      <c r="A26" s="147" t="s">
        <v>259</v>
      </c>
      <c r="B26" s="178" t="s">
        <v>260</v>
      </c>
      <c r="C26" s="176"/>
      <c r="D26" s="177"/>
      <c r="E26" s="177"/>
      <c r="F26" s="177"/>
    </row>
    <row r="27" spans="1:9">
      <c r="A27" s="147" t="s">
        <v>261</v>
      </c>
      <c r="B27" s="175" t="s">
        <v>262</v>
      </c>
      <c r="C27" s="176">
        <f>SUM(D27:F27)</f>
        <v>0</v>
      </c>
      <c r="D27" s="177">
        <v>0</v>
      </c>
      <c r="E27" s="177">
        <v>0</v>
      </c>
      <c r="F27" s="177">
        <v>0</v>
      </c>
    </row>
    <row r="28" spans="1:9">
      <c r="A28" s="147">
        <v>2</v>
      </c>
      <c r="B28" s="175" t="s">
        <v>263</v>
      </c>
      <c r="C28" s="179">
        <f>SUM(D28:F28)</f>
        <v>0</v>
      </c>
      <c r="D28" s="177">
        <v>0</v>
      </c>
      <c r="E28" s="177">
        <v>0</v>
      </c>
      <c r="F28" s="177">
        <v>0</v>
      </c>
    </row>
    <row r="29" spans="1:9">
      <c r="A29" s="147">
        <v>3</v>
      </c>
      <c r="B29" s="154" t="s">
        <v>264</v>
      </c>
      <c r="C29" s="180">
        <f>SUM(C25:C28)</f>
        <v>0</v>
      </c>
      <c r="D29" s="180">
        <f>SUM(D25:D28)</f>
        <v>0</v>
      </c>
      <c r="E29" s="180">
        <f>SUM(E25:E28)</f>
        <v>0</v>
      </c>
      <c r="F29" s="180">
        <f>SUM(F25:F28)</f>
        <v>0</v>
      </c>
    </row>
    <row r="30" spans="1:9">
      <c r="A30" s="147">
        <v>4</v>
      </c>
      <c r="B30" s="175" t="s">
        <v>265</v>
      </c>
      <c r="C30" s="175"/>
      <c r="D30" s="175"/>
      <c r="E30" s="175"/>
      <c r="F30" s="175"/>
    </row>
    <row r="31" spans="1:9">
      <c r="A31" s="147">
        <v>5</v>
      </c>
      <c r="B31" s="175" t="s">
        <v>266</v>
      </c>
      <c r="C31" s="181">
        <f>SUM(D31:F31)</f>
        <v>0</v>
      </c>
      <c r="D31" s="182">
        <v>0</v>
      </c>
      <c r="E31" s="182">
        <v>0</v>
      </c>
      <c r="F31" s="182">
        <v>0</v>
      </c>
    </row>
    <row r="32" spans="1:9">
      <c r="A32" s="147">
        <v>6</v>
      </c>
      <c r="B32" s="175" t="s">
        <v>267</v>
      </c>
      <c r="C32" s="183">
        <f>SUM(D32:F32)</f>
        <v>0</v>
      </c>
      <c r="D32" s="182">
        <v>0</v>
      </c>
      <c r="E32" s="182">
        <v>0</v>
      </c>
      <c r="F32" s="182">
        <v>0</v>
      </c>
    </row>
    <row r="33" spans="1:6">
      <c r="A33" s="147">
        <v>7</v>
      </c>
      <c r="B33" s="184" t="s">
        <v>268</v>
      </c>
      <c r="C33" s="183">
        <f>+C29-C31-C32</f>
        <v>0</v>
      </c>
      <c r="D33" s="183">
        <f>+D29-D31-D32</f>
        <v>0</v>
      </c>
      <c r="E33" s="183">
        <f>+E29-E31-E32</f>
        <v>0</v>
      </c>
      <c r="F33" s="183">
        <f>+F29-F31-F32</f>
        <v>0</v>
      </c>
    </row>
    <row r="34" spans="1:6">
      <c r="A34" s="147">
        <v>8</v>
      </c>
      <c r="B34" s="175" t="s">
        <v>269</v>
      </c>
      <c r="C34" s="182">
        <v>0</v>
      </c>
      <c r="D34" s="182">
        <v>0</v>
      </c>
      <c r="E34" s="182">
        <v>0</v>
      </c>
      <c r="F34" s="182">
        <v>0</v>
      </c>
    </row>
    <row r="35" spans="1:6">
      <c r="A35" s="166">
        <v>9</v>
      </c>
      <c r="B35" s="154" t="s">
        <v>270</v>
      </c>
      <c r="C35" s="185">
        <f>SUM(C33:C34)</f>
        <v>0</v>
      </c>
    </row>
    <row r="36" spans="1:6">
      <c r="A36" s="166"/>
    </row>
    <row r="37" spans="1:6">
      <c r="A37" s="166">
        <v>10</v>
      </c>
      <c r="B37" s="154" t="s">
        <v>271</v>
      </c>
      <c r="C37" s="186" t="s">
        <v>157</v>
      </c>
      <c r="D37" s="154"/>
    </row>
    <row r="38" spans="1:6">
      <c r="A38" s="166" t="s">
        <v>272</v>
      </c>
      <c r="B38" s="154" t="s">
        <v>273</v>
      </c>
      <c r="C38" s="161">
        <v>0</v>
      </c>
      <c r="D38" s="154"/>
    </row>
    <row r="39" spans="1:6">
      <c r="A39" s="166" t="s">
        <v>274</v>
      </c>
      <c r="B39" s="154" t="s">
        <v>275</v>
      </c>
      <c r="C39" s="161">
        <v>0</v>
      </c>
      <c r="D39" s="154"/>
    </row>
    <row r="40" spans="1:6">
      <c r="A40" s="166" t="s">
        <v>276</v>
      </c>
      <c r="B40" s="154" t="s">
        <v>277</v>
      </c>
      <c r="C40" s="161">
        <v>0</v>
      </c>
      <c r="D40" s="154"/>
    </row>
    <row r="41" spans="1:6">
      <c r="A41" s="166" t="s">
        <v>278</v>
      </c>
      <c r="B41" s="154" t="s">
        <v>279</v>
      </c>
      <c r="C41" s="161">
        <v>0</v>
      </c>
      <c r="D41" s="154"/>
    </row>
    <row r="42" spans="1:6">
      <c r="A42" s="166" t="s">
        <v>280</v>
      </c>
      <c r="B42" s="154" t="s">
        <v>281</v>
      </c>
      <c r="C42" s="161">
        <v>0</v>
      </c>
      <c r="D42" s="154"/>
    </row>
    <row r="43" spans="1:6">
      <c r="A43" s="166" t="s">
        <v>282</v>
      </c>
      <c r="B43" s="154" t="s">
        <v>283</v>
      </c>
      <c r="C43" s="161">
        <v>0</v>
      </c>
      <c r="D43" s="154"/>
    </row>
    <row r="44" spans="1:6">
      <c r="A44" s="166" t="s">
        <v>284</v>
      </c>
      <c r="B44" s="154" t="s">
        <v>285</v>
      </c>
      <c r="C44" s="161">
        <v>0</v>
      </c>
      <c r="D44" s="154"/>
    </row>
    <row r="45" spans="1:6">
      <c r="A45" s="166" t="s">
        <v>286</v>
      </c>
      <c r="B45" s="187" t="s">
        <v>260</v>
      </c>
      <c r="C45" s="161">
        <v>0</v>
      </c>
      <c r="D45" s="154"/>
    </row>
    <row r="46" spans="1:6">
      <c r="A46" s="166">
        <v>11</v>
      </c>
      <c r="B46" s="154" t="s">
        <v>287</v>
      </c>
      <c r="C46" s="188">
        <f>SUM(C38:C45)</f>
        <v>0</v>
      </c>
      <c r="D46" s="154"/>
    </row>
    <row r="48" spans="1:6" ht="99" customHeight="1">
      <c r="A48" s="160"/>
      <c r="B48" s="856"/>
      <c r="C48" s="856"/>
      <c r="D48" s="856"/>
      <c r="E48" s="856"/>
      <c r="F48" s="856"/>
    </row>
    <row r="123" spans="4:4">
      <c r="D123" s="158"/>
    </row>
    <row r="229" spans="8:8">
      <c r="H229" s="189"/>
    </row>
    <row r="243" ht="99.75" customHeight="1"/>
    <row r="264" ht="40.5" customHeight="1"/>
  </sheetData>
  <mergeCells count="5">
    <mergeCell ref="A1:D1"/>
    <mergeCell ref="A2:C2"/>
    <mergeCell ref="B19:F19"/>
    <mergeCell ref="B20:F20"/>
    <mergeCell ref="B48:F48"/>
  </mergeCells>
  <pageMargins left="0.75" right="0.75" top="1.28" bottom="1" header="0.5" footer="0.5"/>
  <pageSetup scale="55" orientation="landscape" r:id="rId1"/>
  <headerFooter alignWithMargins="0"/>
  <rowBreaks count="1" manualBreakCount="1">
    <brk id="65" max="3" man="1"/>
  </rowBreaks>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8CC36-21F6-440B-8578-3C8CE7357389}">
  <sheetPr>
    <tabColor rgb="FF92D050"/>
    <pageSetUpPr fitToPage="1"/>
  </sheetPr>
  <dimension ref="A1:H21"/>
  <sheetViews>
    <sheetView view="pageBreakPreview" zoomScale="60" zoomScaleNormal="100" workbookViewId="0">
      <selection activeCell="E43" sqref="E43"/>
    </sheetView>
  </sheetViews>
  <sheetFormatPr defaultColWidth="8.81640625" defaultRowHeight="13.8"/>
  <cols>
    <col min="1" max="1" width="8.81640625" style="842"/>
    <col min="2" max="2" width="44" style="842" bestFit="1" customWidth="1"/>
    <col min="3" max="3" width="8.81640625" style="842"/>
    <col min="4" max="6" width="15.54296875" style="842" customWidth="1"/>
    <col min="7" max="7" width="13.453125" style="842" bestFit="1" customWidth="1"/>
    <col min="8" max="8" width="15.54296875" style="842" customWidth="1"/>
    <col min="9" max="16384" width="8.81640625" style="842"/>
  </cols>
  <sheetData>
    <row r="1" spans="1:8">
      <c r="A1" s="840" t="s">
        <v>972</v>
      </c>
      <c r="B1" s="840"/>
      <c r="C1" s="841"/>
      <c r="D1" s="840"/>
      <c r="E1" s="840"/>
      <c r="F1" s="840"/>
      <c r="G1" s="840"/>
      <c r="H1" s="840"/>
    </row>
    <row r="2" spans="1:8">
      <c r="A2" s="841" t="s">
        <v>973</v>
      </c>
      <c r="B2" s="841"/>
      <c r="C2" s="841"/>
      <c r="D2" s="841"/>
      <c r="E2" s="841"/>
      <c r="F2" s="841"/>
      <c r="G2" s="841"/>
      <c r="H2" s="841"/>
    </row>
    <row r="3" spans="1:8">
      <c r="A3" s="841"/>
      <c r="C3" s="841"/>
    </row>
    <row r="4" spans="1:8">
      <c r="A4" s="841"/>
      <c r="C4" s="843" t="s">
        <v>974</v>
      </c>
    </row>
    <row r="5" spans="1:8">
      <c r="C5" s="843"/>
    </row>
    <row r="6" spans="1:8">
      <c r="B6" s="844" t="s">
        <v>174</v>
      </c>
      <c r="D6" s="844" t="s">
        <v>370</v>
      </c>
    </row>
    <row r="7" spans="1:8">
      <c r="A7" s="845"/>
      <c r="D7" s="844" t="s">
        <v>975</v>
      </c>
    </row>
    <row r="8" spans="1:8">
      <c r="D8" s="846">
        <v>2022</v>
      </c>
    </row>
    <row r="9" spans="1:8">
      <c r="D9" s="847"/>
    </row>
    <row r="10" spans="1:8">
      <c r="A10" s="848">
        <v>1</v>
      </c>
      <c r="B10" s="842" t="s">
        <v>976</v>
      </c>
      <c r="C10" s="849"/>
      <c r="D10" s="850">
        <f>SUM(D11:D14)</f>
        <v>508597</v>
      </c>
    </row>
    <row r="11" spans="1:8">
      <c r="A11" s="848" t="s">
        <v>257</v>
      </c>
      <c r="B11" s="842" t="s">
        <v>977</v>
      </c>
      <c r="C11" s="849"/>
      <c r="D11" s="851">
        <v>402441</v>
      </c>
    </row>
    <row r="12" spans="1:8">
      <c r="A12" s="848" t="s">
        <v>856</v>
      </c>
      <c r="B12" s="842" t="s">
        <v>978</v>
      </c>
      <c r="C12" s="849"/>
      <c r="D12" s="851">
        <v>73364</v>
      </c>
    </row>
    <row r="13" spans="1:8">
      <c r="A13" s="848" t="s">
        <v>857</v>
      </c>
      <c r="B13" s="842" t="s">
        <v>979</v>
      </c>
      <c r="C13" s="849"/>
      <c r="D13" s="851">
        <v>24174</v>
      </c>
    </row>
    <row r="14" spans="1:8">
      <c r="A14" s="848" t="s">
        <v>980</v>
      </c>
      <c r="B14" s="842" t="s">
        <v>981</v>
      </c>
      <c r="C14" s="849"/>
      <c r="D14" s="851">
        <v>8618</v>
      </c>
    </row>
    <row r="15" spans="1:8">
      <c r="A15" s="848"/>
      <c r="C15" s="849"/>
    </row>
    <row r="18" spans="1:6">
      <c r="A18" s="841"/>
    </row>
    <row r="19" spans="1:6" ht="14.4">
      <c r="A19" s="852"/>
      <c r="B19" s="852"/>
      <c r="C19" s="852"/>
      <c r="D19" s="852"/>
      <c r="E19" s="852"/>
      <c r="F19" s="852"/>
    </row>
    <row r="20" spans="1:6" ht="55.5" customHeight="1">
      <c r="A20" s="853"/>
      <c r="B20" s="969"/>
      <c r="C20" s="969"/>
      <c r="D20" s="969"/>
      <c r="E20" s="969"/>
      <c r="F20" s="969"/>
    </row>
    <row r="21" spans="1:6">
      <c r="A21" s="841"/>
    </row>
  </sheetData>
  <mergeCells count="1">
    <mergeCell ref="B20:F20"/>
  </mergeCells>
  <pageMargins left="0.7" right="0.7" top="0.75" bottom="0.75" header="0.3" footer="0.3"/>
  <pageSetup scale="94"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CD5FC-8796-4078-A37C-3735D3662421}">
  <sheetPr>
    <tabColor rgb="FF92D050"/>
  </sheetPr>
  <dimension ref="A1:V163"/>
  <sheetViews>
    <sheetView view="pageBreakPreview" topLeftCell="A78" zoomScale="80" zoomScaleNormal="75" zoomScaleSheetLayoutView="80" workbookViewId="0">
      <selection activeCell="E43" sqref="E43"/>
    </sheetView>
  </sheetViews>
  <sheetFormatPr defaultColWidth="8.90625" defaultRowHeight="15.6"/>
  <cols>
    <col min="1" max="1" width="5" style="166" customWidth="1"/>
    <col min="2" max="2" width="3.36328125" style="154" customWidth="1"/>
    <col min="3" max="3" width="48.36328125" style="154" customWidth="1"/>
    <col min="4" max="4" width="18.6328125" style="154" customWidth="1"/>
    <col min="5" max="5" width="13.6328125" style="154" customWidth="1"/>
    <col min="6" max="6" width="18.08984375" style="154" customWidth="1"/>
    <col min="7" max="7" width="15.36328125" style="167" customWidth="1"/>
    <col min="8" max="8" width="11.90625" style="167" customWidth="1"/>
    <col min="9" max="9" width="13" style="167" customWidth="1"/>
    <col min="10" max="10" width="10.6328125" style="167" customWidth="1"/>
    <col min="11" max="11" width="9" style="167" customWidth="1"/>
    <col min="12" max="13" width="7.54296875" style="167" customWidth="1"/>
    <col min="14" max="16384" width="8.90625" style="167"/>
  </cols>
  <sheetData>
    <row r="1" spans="1:13" ht="22.5" customHeight="1">
      <c r="A1" s="869" t="s">
        <v>288</v>
      </c>
      <c r="B1" s="869"/>
      <c r="C1" s="869"/>
      <c r="D1" s="869"/>
      <c r="E1" s="869"/>
      <c r="F1" s="869"/>
      <c r="G1" s="190"/>
      <c r="H1" s="190"/>
      <c r="I1" s="190"/>
      <c r="J1" s="190"/>
      <c r="K1" s="190"/>
      <c r="L1" s="190"/>
      <c r="M1" s="190"/>
    </row>
    <row r="2" spans="1:13" ht="17.399999999999999">
      <c r="A2" s="878"/>
      <c r="B2" s="878"/>
      <c r="C2" s="878"/>
      <c r="D2" s="878"/>
      <c r="E2" s="878"/>
      <c r="F2" s="878"/>
      <c r="G2" s="190"/>
      <c r="H2" s="190"/>
      <c r="I2" s="190"/>
      <c r="J2" s="190"/>
      <c r="K2" s="190"/>
      <c r="L2" s="190"/>
      <c r="M2" s="190"/>
    </row>
    <row r="3" spans="1:13" ht="17.399999999999999">
      <c r="A3" s="155"/>
      <c r="B3" s="155"/>
      <c r="C3" s="879" t="s">
        <v>289</v>
      </c>
      <c r="D3" s="865"/>
      <c r="E3" s="155"/>
      <c r="F3" s="155"/>
      <c r="G3" s="190"/>
      <c r="H3" s="190"/>
      <c r="I3" s="190"/>
      <c r="J3" s="190"/>
      <c r="K3" s="190"/>
      <c r="L3" s="190"/>
      <c r="M3" s="190"/>
    </row>
    <row r="4" spans="1:13">
      <c r="C4" s="880" t="s">
        <v>290</v>
      </c>
      <c r="D4" s="871"/>
    </row>
    <row r="5" spans="1:13" ht="16.2" thickBot="1">
      <c r="A5" s="191" t="s">
        <v>291</v>
      </c>
    </row>
    <row r="6" spans="1:13">
      <c r="A6" s="873" t="s">
        <v>292</v>
      </c>
      <c r="B6" s="874"/>
      <c r="C6" s="874"/>
      <c r="D6" s="874"/>
      <c r="E6" s="874"/>
      <c r="F6" s="875"/>
      <c r="G6" s="192"/>
      <c r="H6" s="192"/>
      <c r="I6" s="192"/>
      <c r="J6" s="876"/>
      <c r="K6" s="877"/>
      <c r="L6" s="877"/>
      <c r="M6" s="877"/>
    </row>
    <row r="7" spans="1:13">
      <c r="A7" s="193">
        <v>1</v>
      </c>
      <c r="C7" s="194" t="s">
        <v>293</v>
      </c>
      <c r="D7" s="154" t="s">
        <v>59</v>
      </c>
      <c r="E7" s="166" t="s">
        <v>294</v>
      </c>
      <c r="F7" s="195" t="s">
        <v>295</v>
      </c>
      <c r="G7" s="196"/>
      <c r="J7" s="197"/>
      <c r="K7" s="197"/>
      <c r="L7" s="197"/>
      <c r="M7" s="197"/>
    </row>
    <row r="8" spans="1:13">
      <c r="A8" s="193">
        <f t="shared" ref="A8:A21" si="0">+A7+1</f>
        <v>2</v>
      </c>
      <c r="C8" s="154" t="s">
        <v>296</v>
      </c>
      <c r="D8" s="198" t="s">
        <v>297</v>
      </c>
      <c r="E8" s="199">
        <v>2021</v>
      </c>
      <c r="F8" s="200">
        <v>56363044</v>
      </c>
      <c r="G8" s="201"/>
      <c r="H8" s="202"/>
      <c r="I8" s="203"/>
      <c r="J8" s="197"/>
      <c r="K8" s="197"/>
      <c r="L8" s="197"/>
      <c r="M8" s="197"/>
    </row>
    <row r="9" spans="1:13">
      <c r="A9" s="193">
        <f t="shared" si="0"/>
        <v>3</v>
      </c>
      <c r="C9" s="204" t="s">
        <v>298</v>
      </c>
      <c r="D9" s="154" t="s">
        <v>299</v>
      </c>
      <c r="E9" s="199">
        <v>2022</v>
      </c>
      <c r="F9" s="200">
        <v>56427194.979999997</v>
      </c>
      <c r="G9" s="205"/>
      <c r="J9" s="197"/>
      <c r="K9" s="197"/>
      <c r="L9" s="197"/>
      <c r="M9" s="197"/>
    </row>
    <row r="10" spans="1:13">
      <c r="A10" s="193">
        <f t="shared" si="0"/>
        <v>4</v>
      </c>
      <c r="B10" s="166"/>
      <c r="C10" s="204" t="s">
        <v>300</v>
      </c>
      <c r="D10" s="154" t="s">
        <v>299</v>
      </c>
      <c r="E10" s="199">
        <v>2022</v>
      </c>
      <c r="F10" s="200">
        <v>54929379.039999999</v>
      </c>
      <c r="G10" s="201"/>
      <c r="H10" s="202"/>
      <c r="I10" s="202"/>
      <c r="J10" s="197"/>
      <c r="K10" s="197"/>
      <c r="L10" s="197"/>
      <c r="M10" s="197"/>
    </row>
    <row r="11" spans="1:13">
      <c r="A11" s="193">
        <f t="shared" si="0"/>
        <v>5</v>
      </c>
      <c r="B11" s="166"/>
      <c r="C11" s="204" t="s">
        <v>301</v>
      </c>
      <c r="D11" s="154" t="s">
        <v>299</v>
      </c>
      <c r="E11" s="199">
        <v>2022</v>
      </c>
      <c r="F11" s="200">
        <v>71714287.280000001</v>
      </c>
      <c r="G11" s="201"/>
      <c r="H11" s="202"/>
      <c r="I11" s="202"/>
      <c r="J11" s="197"/>
      <c r="K11" s="197"/>
      <c r="L11" s="197"/>
      <c r="M11" s="197"/>
    </row>
    <row r="12" spans="1:13">
      <c r="A12" s="193">
        <f t="shared" si="0"/>
        <v>6</v>
      </c>
      <c r="C12" s="204" t="s">
        <v>302</v>
      </c>
      <c r="D12" s="154" t="s">
        <v>299</v>
      </c>
      <c r="E12" s="199">
        <v>2022</v>
      </c>
      <c r="F12" s="200">
        <v>71832028.670000002</v>
      </c>
      <c r="G12" s="201"/>
      <c r="H12" s="202"/>
      <c r="I12" s="202"/>
      <c r="J12" s="197"/>
      <c r="K12" s="197"/>
      <c r="L12" s="197"/>
      <c r="M12" s="197"/>
    </row>
    <row r="13" spans="1:13">
      <c r="A13" s="193">
        <f t="shared" si="0"/>
        <v>7</v>
      </c>
      <c r="C13" s="204" t="s">
        <v>303</v>
      </c>
      <c r="D13" s="154" t="s">
        <v>299</v>
      </c>
      <c r="E13" s="199">
        <v>2022</v>
      </c>
      <c r="F13" s="200">
        <v>71222597.710000008</v>
      </c>
    </row>
    <row r="14" spans="1:13">
      <c r="A14" s="193">
        <f t="shared" si="0"/>
        <v>8</v>
      </c>
      <c r="C14" s="204" t="s">
        <v>304</v>
      </c>
      <c r="D14" s="154" t="s">
        <v>299</v>
      </c>
      <c r="E14" s="199">
        <v>2022</v>
      </c>
      <c r="F14" s="200">
        <v>71664096.819999993</v>
      </c>
      <c r="G14" s="201"/>
      <c r="H14" s="202"/>
      <c r="I14" s="203"/>
      <c r="J14" s="197"/>
      <c r="K14" s="197"/>
      <c r="L14" s="197"/>
      <c r="M14" s="197"/>
    </row>
    <row r="15" spans="1:13">
      <c r="A15" s="193">
        <f t="shared" si="0"/>
        <v>9</v>
      </c>
      <c r="C15" s="204" t="s">
        <v>305</v>
      </c>
      <c r="D15" s="154" t="s">
        <v>299</v>
      </c>
      <c r="E15" s="199">
        <v>2022</v>
      </c>
      <c r="F15" s="200">
        <v>71683490.349999994</v>
      </c>
      <c r="G15" s="205"/>
      <c r="J15" s="197"/>
      <c r="K15" s="197"/>
      <c r="L15" s="197"/>
      <c r="M15" s="197"/>
    </row>
    <row r="16" spans="1:13">
      <c r="A16" s="193">
        <f t="shared" si="0"/>
        <v>10</v>
      </c>
      <c r="B16" s="166"/>
      <c r="C16" s="204" t="s">
        <v>306</v>
      </c>
      <c r="D16" s="154" t="s">
        <v>299</v>
      </c>
      <c r="E16" s="199">
        <v>2022</v>
      </c>
      <c r="F16" s="200">
        <v>71923948.049999997</v>
      </c>
      <c r="G16" s="201"/>
      <c r="H16" s="202"/>
      <c r="I16" s="202"/>
      <c r="J16" s="197"/>
      <c r="K16" s="197"/>
      <c r="L16" s="197"/>
      <c r="M16" s="197"/>
    </row>
    <row r="17" spans="1:18">
      <c r="A17" s="193">
        <f t="shared" si="0"/>
        <v>11</v>
      </c>
      <c r="B17" s="166"/>
      <c r="C17" s="204" t="s">
        <v>307</v>
      </c>
      <c r="D17" s="154" t="s">
        <v>299</v>
      </c>
      <c r="E17" s="199">
        <v>2022</v>
      </c>
      <c r="F17" s="200">
        <v>72144936.900000006</v>
      </c>
      <c r="G17" s="201"/>
      <c r="H17" s="202"/>
      <c r="I17" s="202"/>
      <c r="J17" s="197"/>
      <c r="K17" s="197"/>
      <c r="L17" s="197"/>
      <c r="M17" s="197"/>
    </row>
    <row r="18" spans="1:18">
      <c r="A18" s="193">
        <f t="shared" si="0"/>
        <v>12</v>
      </c>
      <c r="C18" s="204" t="s">
        <v>308</v>
      </c>
      <c r="D18" s="154" t="s">
        <v>299</v>
      </c>
      <c r="E18" s="199">
        <v>2022</v>
      </c>
      <c r="F18" s="200">
        <v>72167070.870000005</v>
      </c>
      <c r="G18" s="201"/>
      <c r="H18" s="202"/>
      <c r="I18" s="202"/>
      <c r="J18" s="197"/>
      <c r="K18" s="197"/>
      <c r="L18" s="197"/>
      <c r="M18" s="197"/>
    </row>
    <row r="19" spans="1:18">
      <c r="A19" s="193">
        <f t="shared" si="0"/>
        <v>13</v>
      </c>
      <c r="C19" s="204" t="s">
        <v>309</v>
      </c>
      <c r="D19" s="154" t="s">
        <v>299</v>
      </c>
      <c r="E19" s="199">
        <v>2022</v>
      </c>
      <c r="F19" s="200">
        <v>72195838.680000007</v>
      </c>
      <c r="G19" s="201"/>
      <c r="H19" s="202"/>
      <c r="I19" s="202"/>
      <c r="J19" s="197"/>
      <c r="K19" s="197"/>
      <c r="L19" s="197"/>
      <c r="M19" s="197"/>
    </row>
    <row r="20" spans="1:18">
      <c r="A20" s="193">
        <f t="shared" si="0"/>
        <v>14</v>
      </c>
      <c r="C20" s="206" t="s">
        <v>296</v>
      </c>
      <c r="D20" s="207" t="s">
        <v>310</v>
      </c>
      <c r="E20" s="208">
        <v>2022</v>
      </c>
      <c r="F20" s="209">
        <v>72632157</v>
      </c>
      <c r="G20" s="210"/>
      <c r="H20" s="210"/>
    </row>
    <row r="21" spans="1:18">
      <c r="A21" s="193">
        <f t="shared" si="0"/>
        <v>15</v>
      </c>
      <c r="C21" s="211" t="s">
        <v>311</v>
      </c>
      <c r="D21" s="154" t="str">
        <f>"(sum lines "&amp;A8&amp;"-"&amp;A20&amp;") /13"</f>
        <v>(sum lines 2-14) /13</v>
      </c>
      <c r="E21" s="212"/>
      <c r="F21" s="213">
        <f>SUM(F8:F20)/13</f>
        <v>68223082.33461538</v>
      </c>
      <c r="G21" s="214"/>
      <c r="J21" s="197"/>
      <c r="K21" s="197"/>
      <c r="L21" s="197"/>
      <c r="M21" s="197"/>
    </row>
    <row r="22" spans="1:18">
      <c r="A22" s="193"/>
      <c r="B22" s="166"/>
      <c r="C22" s="204"/>
      <c r="E22" s="215"/>
      <c r="F22" s="216"/>
      <c r="G22" s="201"/>
      <c r="H22" s="202"/>
      <c r="I22" s="202"/>
      <c r="J22" s="197"/>
      <c r="K22" s="197"/>
      <c r="L22" s="197"/>
      <c r="M22" s="197"/>
    </row>
    <row r="23" spans="1:18">
      <c r="A23" s="193">
        <f>+A21+1</f>
        <v>16</v>
      </c>
      <c r="C23" s="194" t="s">
        <v>312</v>
      </c>
      <c r="D23" s="154" t="s">
        <v>59</v>
      </c>
      <c r="E23" s="217"/>
      <c r="F23" s="218"/>
      <c r="J23" s="197"/>
      <c r="K23" s="197"/>
      <c r="L23" s="197"/>
      <c r="M23" s="197"/>
    </row>
    <row r="24" spans="1:18">
      <c r="A24" s="193">
        <f>+A23+1</f>
        <v>17</v>
      </c>
      <c r="C24" s="154" t="s">
        <v>296</v>
      </c>
      <c r="D24" s="198" t="s">
        <v>313</v>
      </c>
      <c r="E24" s="199">
        <f>+$E$8</f>
        <v>2021</v>
      </c>
      <c r="F24" s="200">
        <v>796411</v>
      </c>
      <c r="G24" s="201"/>
      <c r="J24" s="197"/>
      <c r="K24" s="197"/>
      <c r="L24" s="197"/>
      <c r="M24" s="197"/>
    </row>
    <row r="25" spans="1:18">
      <c r="A25" s="193">
        <f t="shared" ref="A25:A36" si="1">+A24+1</f>
        <v>18</v>
      </c>
      <c r="C25" s="204" t="s">
        <v>298</v>
      </c>
      <c r="D25" s="154" t="s">
        <v>299</v>
      </c>
      <c r="E25" s="199">
        <f>+$E$9</f>
        <v>2022</v>
      </c>
      <c r="F25" s="200">
        <v>796411</v>
      </c>
      <c r="G25" s="201"/>
      <c r="H25" s="201"/>
      <c r="I25" s="201"/>
      <c r="J25" s="201"/>
      <c r="K25" s="201"/>
      <c r="L25" s="201"/>
      <c r="M25" s="201"/>
      <c r="N25" s="201"/>
      <c r="O25" s="201"/>
      <c r="P25" s="201"/>
      <c r="Q25" s="201"/>
      <c r="R25" s="201"/>
    </row>
    <row r="26" spans="1:18">
      <c r="A26" s="193">
        <f t="shared" si="1"/>
        <v>19</v>
      </c>
      <c r="C26" s="204" t="s">
        <v>300</v>
      </c>
      <c r="D26" s="154" t="s">
        <v>299</v>
      </c>
      <c r="E26" s="199">
        <f t="shared" ref="E26:E36" si="2">+$E$9</f>
        <v>2022</v>
      </c>
      <c r="F26" s="200">
        <v>796411</v>
      </c>
      <c r="G26" s="201"/>
      <c r="J26" s="197"/>
      <c r="K26" s="197"/>
      <c r="L26" s="197"/>
      <c r="M26" s="197"/>
    </row>
    <row r="27" spans="1:18">
      <c r="A27" s="193">
        <f t="shared" si="1"/>
        <v>20</v>
      </c>
      <c r="C27" s="204" t="s">
        <v>301</v>
      </c>
      <c r="D27" s="154" t="s">
        <v>299</v>
      </c>
      <c r="E27" s="199">
        <f t="shared" si="2"/>
        <v>2022</v>
      </c>
      <c r="F27" s="200">
        <v>796411</v>
      </c>
      <c r="G27" s="201"/>
      <c r="J27" s="197"/>
      <c r="K27" s="197"/>
      <c r="L27" s="197"/>
      <c r="M27" s="197"/>
    </row>
    <row r="28" spans="1:18">
      <c r="A28" s="193">
        <f t="shared" si="1"/>
        <v>21</v>
      </c>
      <c r="C28" s="204" t="s">
        <v>302</v>
      </c>
      <c r="D28" s="154" t="s">
        <v>299</v>
      </c>
      <c r="E28" s="199">
        <f t="shared" si="2"/>
        <v>2022</v>
      </c>
      <c r="F28" s="200">
        <v>796411</v>
      </c>
      <c r="G28" s="201"/>
      <c r="J28" s="197"/>
      <c r="K28" s="197"/>
      <c r="L28" s="197"/>
      <c r="M28" s="197"/>
    </row>
    <row r="29" spans="1:18">
      <c r="A29" s="193">
        <f t="shared" si="1"/>
        <v>22</v>
      </c>
      <c r="C29" s="204" t="s">
        <v>303</v>
      </c>
      <c r="D29" s="154" t="s">
        <v>299</v>
      </c>
      <c r="E29" s="199">
        <f t="shared" si="2"/>
        <v>2022</v>
      </c>
      <c r="F29" s="200">
        <v>829267.78</v>
      </c>
      <c r="G29" s="201"/>
      <c r="J29" s="197"/>
      <c r="K29" s="197"/>
      <c r="L29" s="197"/>
      <c r="M29" s="197"/>
    </row>
    <row r="30" spans="1:18">
      <c r="A30" s="193">
        <f t="shared" si="1"/>
        <v>23</v>
      </c>
      <c r="C30" s="204" t="s">
        <v>304</v>
      </c>
      <c r="D30" s="154" t="s">
        <v>299</v>
      </c>
      <c r="E30" s="199">
        <f t="shared" si="2"/>
        <v>2022</v>
      </c>
      <c r="F30" s="200">
        <v>829267.78</v>
      </c>
      <c r="G30" s="201"/>
      <c r="J30" s="197"/>
      <c r="K30" s="197"/>
      <c r="L30" s="197"/>
      <c r="M30" s="197"/>
    </row>
    <row r="31" spans="1:18">
      <c r="A31" s="193">
        <f t="shared" si="1"/>
        <v>24</v>
      </c>
      <c r="C31" s="204" t="s">
        <v>305</v>
      </c>
      <c r="D31" s="154" t="s">
        <v>299</v>
      </c>
      <c r="E31" s="199">
        <f t="shared" si="2"/>
        <v>2022</v>
      </c>
      <c r="F31" s="200">
        <v>898952.73</v>
      </c>
      <c r="G31" s="201"/>
      <c r="J31" s="197"/>
      <c r="K31" s="197"/>
      <c r="L31" s="197"/>
      <c r="M31" s="197"/>
    </row>
    <row r="32" spans="1:18">
      <c r="A32" s="193">
        <f t="shared" si="1"/>
        <v>25</v>
      </c>
      <c r="C32" s="204" t="s">
        <v>306</v>
      </c>
      <c r="D32" s="154" t="s">
        <v>299</v>
      </c>
      <c r="E32" s="199">
        <f t="shared" si="2"/>
        <v>2022</v>
      </c>
      <c r="F32" s="200">
        <v>988886.49</v>
      </c>
      <c r="G32" s="201"/>
      <c r="J32" s="197"/>
      <c r="K32" s="197"/>
      <c r="L32" s="197"/>
      <c r="M32" s="197"/>
    </row>
    <row r="33" spans="1:22">
      <c r="A33" s="193">
        <f t="shared" si="1"/>
        <v>26</v>
      </c>
      <c r="C33" s="204" t="s">
        <v>307</v>
      </c>
      <c r="D33" s="154" t="s">
        <v>299</v>
      </c>
      <c r="E33" s="199">
        <f t="shared" si="2"/>
        <v>2022</v>
      </c>
      <c r="F33" s="200">
        <v>1075627.05</v>
      </c>
      <c r="G33" s="201"/>
      <c r="J33" s="197"/>
      <c r="K33" s="197"/>
      <c r="L33" s="197"/>
      <c r="M33" s="197"/>
    </row>
    <row r="34" spans="1:22">
      <c r="A34" s="193">
        <f t="shared" si="1"/>
        <v>27</v>
      </c>
      <c r="C34" s="204" t="s">
        <v>314</v>
      </c>
      <c r="D34" s="154" t="s">
        <v>299</v>
      </c>
      <c r="E34" s="199">
        <f t="shared" si="2"/>
        <v>2022</v>
      </c>
      <c r="F34" s="200">
        <v>1082050.3</v>
      </c>
      <c r="G34" s="201"/>
      <c r="J34" s="197"/>
      <c r="K34" s="197"/>
      <c r="L34" s="197"/>
      <c r="M34" s="197"/>
    </row>
    <row r="35" spans="1:22">
      <c r="A35" s="193">
        <f t="shared" si="1"/>
        <v>28</v>
      </c>
      <c r="C35" s="204" t="s">
        <v>309</v>
      </c>
      <c r="D35" s="154" t="s">
        <v>299</v>
      </c>
      <c r="E35" s="199">
        <f t="shared" si="2"/>
        <v>2022</v>
      </c>
      <c r="F35" s="200">
        <v>1082257.97</v>
      </c>
      <c r="G35" s="201"/>
      <c r="J35" s="197"/>
      <c r="K35" s="197"/>
      <c r="L35" s="197"/>
      <c r="M35" s="197"/>
    </row>
    <row r="36" spans="1:22">
      <c r="A36" s="193">
        <f t="shared" si="1"/>
        <v>29</v>
      </c>
      <c r="C36" s="206" t="s">
        <v>296</v>
      </c>
      <c r="D36" s="207" t="s">
        <v>315</v>
      </c>
      <c r="E36" s="208">
        <f t="shared" si="2"/>
        <v>2022</v>
      </c>
      <c r="F36" s="209">
        <v>1084091</v>
      </c>
      <c r="G36" s="210"/>
      <c r="H36" s="202"/>
    </row>
    <row r="37" spans="1:22">
      <c r="A37" s="193">
        <f>+A36+1</f>
        <v>30</v>
      </c>
      <c r="C37" s="211" t="s">
        <v>316</v>
      </c>
      <c r="D37" s="154" t="str">
        <f>"(sum lines "&amp;A24&amp;" - "&amp;A36&amp;") /13"</f>
        <v>(sum lines 17 - 29) /13</v>
      </c>
      <c r="E37" s="215"/>
      <c r="F37" s="213">
        <f>SUM(F24:F36)/13</f>
        <v>911727.39230769256</v>
      </c>
      <c r="G37" s="214"/>
      <c r="I37" s="219"/>
      <c r="J37" s="197"/>
      <c r="K37" s="197"/>
      <c r="L37" s="197"/>
      <c r="M37" s="197"/>
    </row>
    <row r="38" spans="1:22">
      <c r="A38" s="193"/>
      <c r="C38" s="204"/>
      <c r="E38" s="220"/>
      <c r="F38" s="216"/>
      <c r="G38" s="201"/>
      <c r="H38" s="202"/>
      <c r="I38" s="202"/>
      <c r="J38" s="197"/>
      <c r="K38" s="197"/>
      <c r="L38" s="197"/>
      <c r="M38" s="197"/>
    </row>
    <row r="39" spans="1:22">
      <c r="A39" s="193">
        <f>+A37+1</f>
        <v>31</v>
      </c>
      <c r="C39" s="194" t="s">
        <v>317</v>
      </c>
      <c r="D39" s="154" t="s">
        <v>59</v>
      </c>
      <c r="E39" s="217"/>
      <c r="F39" s="218"/>
      <c r="J39" s="197"/>
      <c r="K39" s="197"/>
      <c r="L39" s="197"/>
      <c r="M39" s="197"/>
    </row>
    <row r="40" spans="1:22">
      <c r="A40" s="193">
        <f>+A39+1</f>
        <v>32</v>
      </c>
      <c r="C40" s="154" t="s">
        <v>296</v>
      </c>
      <c r="D40" s="198" t="s">
        <v>318</v>
      </c>
      <c r="E40" s="199">
        <f>+$E$8</f>
        <v>2021</v>
      </c>
      <c r="F40" s="200">
        <v>410168</v>
      </c>
      <c r="G40" s="201"/>
      <c r="H40" s="202"/>
      <c r="I40" s="203"/>
      <c r="J40" s="197"/>
      <c r="K40" s="197"/>
      <c r="L40" s="197"/>
      <c r="M40" s="197"/>
    </row>
    <row r="41" spans="1:22">
      <c r="A41" s="193">
        <f t="shared" ref="A41:A51" si="3">+A40+1</f>
        <v>33</v>
      </c>
      <c r="C41" s="204" t="s">
        <v>298</v>
      </c>
      <c r="D41" s="154" t="s">
        <v>299</v>
      </c>
      <c r="E41" s="199">
        <f>+$E$9</f>
        <v>2022</v>
      </c>
      <c r="F41" s="200">
        <v>410169</v>
      </c>
      <c r="G41" s="201"/>
      <c r="H41" s="201"/>
      <c r="I41" s="201"/>
      <c r="J41" s="201"/>
      <c r="K41" s="201"/>
      <c r="L41" s="201"/>
      <c r="M41" s="201"/>
      <c r="N41" s="201"/>
      <c r="O41" s="201"/>
      <c r="P41" s="201"/>
      <c r="Q41" s="201"/>
      <c r="R41" s="201"/>
      <c r="S41" s="201"/>
      <c r="T41" s="201"/>
      <c r="U41" s="201"/>
      <c r="V41" s="201"/>
    </row>
    <row r="42" spans="1:22">
      <c r="A42" s="193">
        <f t="shared" si="3"/>
        <v>34</v>
      </c>
      <c r="C42" s="204" t="s">
        <v>300</v>
      </c>
      <c r="D42" s="154" t="s">
        <v>299</v>
      </c>
      <c r="E42" s="199">
        <f t="shared" ref="E42:E52" si="4">+$E$9</f>
        <v>2022</v>
      </c>
      <c r="F42" s="200">
        <v>450788.73</v>
      </c>
      <c r="G42" s="201"/>
      <c r="H42" s="202"/>
      <c r="I42" s="203"/>
      <c r="J42" s="197"/>
      <c r="K42" s="197"/>
      <c r="L42" s="197"/>
      <c r="M42" s="197"/>
    </row>
    <row r="43" spans="1:22">
      <c r="A43" s="193">
        <f t="shared" si="3"/>
        <v>35</v>
      </c>
      <c r="C43" s="204" t="s">
        <v>301</v>
      </c>
      <c r="D43" s="154" t="s">
        <v>299</v>
      </c>
      <c r="E43" s="199">
        <f t="shared" si="4"/>
        <v>2022</v>
      </c>
      <c r="F43" s="200">
        <v>448460.99</v>
      </c>
      <c r="G43" s="201"/>
      <c r="H43" s="202"/>
      <c r="I43" s="203"/>
      <c r="J43" s="197"/>
      <c r="K43" s="197"/>
      <c r="L43" s="197"/>
      <c r="M43" s="197"/>
    </row>
    <row r="44" spans="1:22">
      <c r="A44" s="193">
        <f t="shared" si="3"/>
        <v>36</v>
      </c>
      <c r="C44" s="204" t="s">
        <v>302</v>
      </c>
      <c r="D44" s="154" t="s">
        <v>299</v>
      </c>
      <c r="E44" s="199">
        <f t="shared" si="4"/>
        <v>2022</v>
      </c>
      <c r="F44" s="200">
        <v>448460.99</v>
      </c>
      <c r="G44" s="201"/>
      <c r="H44" s="202"/>
      <c r="I44" s="203"/>
      <c r="J44" s="197"/>
      <c r="K44" s="197"/>
      <c r="L44" s="197"/>
      <c r="M44" s="197"/>
    </row>
    <row r="45" spans="1:22">
      <c r="A45" s="193">
        <f t="shared" si="3"/>
        <v>37</v>
      </c>
      <c r="C45" s="204" t="s">
        <v>303</v>
      </c>
      <c r="D45" s="154" t="s">
        <v>299</v>
      </c>
      <c r="E45" s="199">
        <f t="shared" si="4"/>
        <v>2022</v>
      </c>
      <c r="F45" s="200">
        <v>448460.99</v>
      </c>
      <c r="G45" s="201"/>
      <c r="H45" s="202"/>
      <c r="I45" s="203"/>
      <c r="J45" s="197"/>
      <c r="K45" s="197"/>
      <c r="L45" s="197"/>
      <c r="M45" s="197"/>
    </row>
    <row r="46" spans="1:22">
      <c r="A46" s="193">
        <f t="shared" si="3"/>
        <v>38</v>
      </c>
      <c r="C46" s="204" t="s">
        <v>304</v>
      </c>
      <c r="D46" s="154" t="s">
        <v>299</v>
      </c>
      <c r="E46" s="199">
        <f t="shared" si="4"/>
        <v>2022</v>
      </c>
      <c r="F46" s="200">
        <v>448460.99</v>
      </c>
      <c r="G46" s="201"/>
      <c r="H46" s="202"/>
      <c r="I46" s="203"/>
      <c r="J46" s="197"/>
      <c r="K46" s="197"/>
      <c r="L46" s="197"/>
      <c r="M46" s="197"/>
    </row>
    <row r="47" spans="1:22">
      <c r="A47" s="193">
        <f t="shared" si="3"/>
        <v>39</v>
      </c>
      <c r="C47" s="204" t="s">
        <v>305</v>
      </c>
      <c r="D47" s="154" t="s">
        <v>299</v>
      </c>
      <c r="E47" s="199">
        <f t="shared" si="4"/>
        <v>2022</v>
      </c>
      <c r="F47" s="200">
        <v>448460.99</v>
      </c>
      <c r="G47" s="201"/>
      <c r="H47" s="202"/>
      <c r="I47" s="203"/>
      <c r="J47" s="197"/>
      <c r="K47" s="197"/>
      <c r="L47" s="197"/>
      <c r="M47" s="197"/>
    </row>
    <row r="48" spans="1:22">
      <c r="A48" s="193">
        <f t="shared" si="3"/>
        <v>40</v>
      </c>
      <c r="C48" s="204" t="s">
        <v>306</v>
      </c>
      <c r="D48" s="154" t="s">
        <v>299</v>
      </c>
      <c r="E48" s="199">
        <f t="shared" si="4"/>
        <v>2022</v>
      </c>
      <c r="F48" s="200">
        <v>487853.87</v>
      </c>
      <c r="G48" s="201"/>
      <c r="H48" s="202"/>
      <c r="I48" s="203"/>
      <c r="J48" s="197"/>
      <c r="K48" s="197"/>
      <c r="L48" s="197"/>
      <c r="M48" s="197"/>
    </row>
    <row r="49" spans="1:17">
      <c r="A49" s="193">
        <f t="shared" si="3"/>
        <v>41</v>
      </c>
      <c r="C49" s="204" t="s">
        <v>307</v>
      </c>
      <c r="D49" s="154" t="s">
        <v>299</v>
      </c>
      <c r="E49" s="199">
        <f t="shared" si="4"/>
        <v>2022</v>
      </c>
      <c r="F49" s="200">
        <v>487853.87</v>
      </c>
      <c r="G49" s="201"/>
      <c r="H49" s="202"/>
      <c r="I49" s="203"/>
      <c r="J49" s="197"/>
      <c r="K49" s="197"/>
      <c r="L49" s="197"/>
      <c r="M49" s="197"/>
    </row>
    <row r="50" spans="1:17">
      <c r="A50" s="193">
        <f t="shared" si="3"/>
        <v>42</v>
      </c>
      <c r="C50" s="204" t="s">
        <v>314</v>
      </c>
      <c r="D50" s="154" t="s">
        <v>299</v>
      </c>
      <c r="E50" s="199">
        <f t="shared" si="4"/>
        <v>2022</v>
      </c>
      <c r="F50" s="200">
        <v>520671.56</v>
      </c>
      <c r="G50" s="201"/>
      <c r="H50" s="202"/>
      <c r="I50" s="203"/>
      <c r="J50" s="197"/>
      <c r="K50" s="197"/>
      <c r="L50" s="197"/>
      <c r="M50" s="197"/>
    </row>
    <row r="51" spans="1:17">
      <c r="A51" s="193">
        <f t="shared" si="3"/>
        <v>43</v>
      </c>
      <c r="C51" s="204" t="s">
        <v>309</v>
      </c>
      <c r="D51" s="154" t="s">
        <v>299</v>
      </c>
      <c r="E51" s="199">
        <f t="shared" si="4"/>
        <v>2022</v>
      </c>
      <c r="F51" s="200">
        <v>520341.93</v>
      </c>
      <c r="G51" s="201"/>
      <c r="H51" s="202"/>
      <c r="I51" s="203"/>
      <c r="J51" s="197"/>
      <c r="K51" s="197"/>
      <c r="L51" s="197"/>
      <c r="M51" s="197"/>
    </row>
    <row r="52" spans="1:17">
      <c r="A52" s="193">
        <f>+A51+1</f>
        <v>44</v>
      </c>
      <c r="C52" s="206" t="s">
        <v>296</v>
      </c>
      <c r="D52" s="207" t="s">
        <v>319</v>
      </c>
      <c r="E52" s="208">
        <f t="shared" si="4"/>
        <v>2022</v>
      </c>
      <c r="F52" s="209">
        <v>483002</v>
      </c>
      <c r="G52" s="210"/>
      <c r="H52" s="210"/>
    </row>
    <row r="53" spans="1:17">
      <c r="A53" s="193">
        <f>+A52+1</f>
        <v>45</v>
      </c>
      <c r="C53" s="211" t="s">
        <v>320</v>
      </c>
      <c r="D53" s="154" t="str">
        <f>"(sum lines "&amp;A40&amp;" - "&amp;A52&amp;") /13"</f>
        <v>(sum lines 32 - 44) /13</v>
      </c>
      <c r="E53" s="215"/>
      <c r="F53" s="213">
        <f>SUM(F40:F52)/13</f>
        <v>462550.30076923076</v>
      </c>
      <c r="G53" s="214"/>
      <c r="I53" s="219"/>
      <c r="J53" s="197"/>
      <c r="K53" s="197"/>
      <c r="L53" s="197"/>
      <c r="M53" s="197"/>
    </row>
    <row r="54" spans="1:17">
      <c r="A54" s="193"/>
      <c r="C54" s="204"/>
      <c r="E54" s="221"/>
      <c r="F54" s="216"/>
      <c r="G54" s="201"/>
      <c r="H54" s="202"/>
      <c r="I54" s="203"/>
      <c r="J54" s="197"/>
      <c r="K54" s="197"/>
      <c r="L54" s="197"/>
      <c r="M54" s="197"/>
    </row>
    <row r="55" spans="1:17">
      <c r="A55" s="193">
        <f>+A53+1</f>
        <v>46</v>
      </c>
      <c r="C55" s="194" t="s">
        <v>321</v>
      </c>
      <c r="D55" s="198" t="str">
        <f>"(sum lines "&amp;A21&amp;", "&amp;A37&amp;", and "&amp;A53&amp;")"</f>
        <v>(sum lines 15, 30, and 45)</v>
      </c>
      <c r="E55" s="212"/>
      <c r="F55" s="222">
        <f>F21+F37+F53</f>
        <v>69597360.027692303</v>
      </c>
      <c r="G55" s="223"/>
      <c r="H55" s="219"/>
      <c r="I55" s="219"/>
    </row>
    <row r="56" spans="1:17" ht="16.2" thickBot="1">
      <c r="A56" s="224"/>
      <c r="B56" s="225"/>
      <c r="C56" s="226"/>
      <c r="D56" s="227"/>
      <c r="E56" s="228"/>
      <c r="F56" s="229"/>
      <c r="G56" s="223"/>
      <c r="H56" s="202"/>
      <c r="I56" s="202"/>
      <c r="J56" s="197"/>
      <c r="K56" s="197"/>
      <c r="L56" s="197"/>
      <c r="M56" s="197"/>
    </row>
    <row r="57" spans="1:17">
      <c r="A57" s="193"/>
      <c r="B57" s="166"/>
      <c r="C57" s="204"/>
      <c r="E57" s="221"/>
      <c r="F57" s="216"/>
      <c r="G57" s="201"/>
      <c r="H57" s="202"/>
      <c r="I57" s="202"/>
      <c r="J57" s="197"/>
      <c r="K57" s="197"/>
      <c r="L57" s="197"/>
      <c r="M57" s="197"/>
    </row>
    <row r="58" spans="1:17" ht="16.2" thickBot="1">
      <c r="A58" s="230" t="s">
        <v>322</v>
      </c>
      <c r="F58" s="218"/>
    </row>
    <row r="59" spans="1:17">
      <c r="A59" s="873" t="s">
        <v>323</v>
      </c>
      <c r="B59" s="874"/>
      <c r="C59" s="874"/>
      <c r="D59" s="874"/>
      <c r="E59" s="874"/>
      <c r="F59" s="875"/>
      <c r="G59" s="192"/>
      <c r="H59" s="192"/>
      <c r="I59" s="192"/>
      <c r="J59" s="876"/>
      <c r="K59" s="877"/>
      <c r="L59" s="877"/>
      <c r="M59" s="877"/>
    </row>
    <row r="60" spans="1:17">
      <c r="A60" s="193">
        <f>+A55+1</f>
        <v>47</v>
      </c>
      <c r="C60" s="194" t="s">
        <v>324</v>
      </c>
      <c r="D60" s="154" t="s">
        <v>59</v>
      </c>
      <c r="E60" s="166" t="s">
        <v>294</v>
      </c>
      <c r="F60" s="195" t="s">
        <v>295</v>
      </c>
      <c r="G60" s="196"/>
      <c r="J60" s="197"/>
      <c r="K60" s="197"/>
      <c r="L60" s="197"/>
      <c r="M60" s="197"/>
    </row>
    <row r="61" spans="1:17">
      <c r="A61" s="193">
        <f t="shared" ref="A61:A74" si="5">+A60+1</f>
        <v>48</v>
      </c>
      <c r="C61" s="154" t="s">
        <v>296</v>
      </c>
      <c r="D61" s="198" t="s">
        <v>325</v>
      </c>
      <c r="E61" s="199">
        <f>+$E$8</f>
        <v>2021</v>
      </c>
      <c r="F61" s="200">
        <v>2054136</v>
      </c>
      <c r="G61" s="201"/>
      <c r="H61" s="202"/>
      <c r="I61" s="203"/>
      <c r="J61" s="197"/>
      <c r="K61" s="197"/>
      <c r="L61" s="197"/>
      <c r="M61" s="197"/>
    </row>
    <row r="62" spans="1:17">
      <c r="A62" s="193">
        <f t="shared" si="5"/>
        <v>49</v>
      </c>
      <c r="C62" s="204" t="s">
        <v>298</v>
      </c>
      <c r="D62" s="154" t="s">
        <v>299</v>
      </c>
      <c r="E62" s="199">
        <f>+$E$9</f>
        <v>2022</v>
      </c>
      <c r="F62" s="200">
        <v>2675223.6499999994</v>
      </c>
      <c r="G62" s="205"/>
      <c r="H62" s="205"/>
      <c r="I62" s="205"/>
      <c r="J62" s="205"/>
      <c r="K62" s="205"/>
      <c r="L62" s="205"/>
      <c r="M62" s="205"/>
      <c r="N62" s="205"/>
      <c r="O62" s="205"/>
      <c r="P62" s="205"/>
      <c r="Q62" s="205"/>
    </row>
    <row r="63" spans="1:17">
      <c r="A63" s="193">
        <f t="shared" si="5"/>
        <v>50</v>
      </c>
      <c r="B63" s="166"/>
      <c r="C63" s="204" t="s">
        <v>300</v>
      </c>
      <c r="D63" s="154" t="s">
        <v>299</v>
      </c>
      <c r="E63" s="199">
        <f t="shared" ref="E63:E73" si="6">+$E$9</f>
        <v>2022</v>
      </c>
      <c r="F63" s="200">
        <v>843099.12000000034</v>
      </c>
      <c r="G63" s="201"/>
      <c r="H63" s="201"/>
      <c r="I63" s="201"/>
      <c r="J63" s="201"/>
      <c r="K63" s="201"/>
      <c r="L63" s="201"/>
      <c r="M63" s="201"/>
      <c r="N63" s="201"/>
      <c r="O63" s="201"/>
      <c r="P63" s="201"/>
      <c r="Q63" s="201"/>
    </row>
    <row r="64" spans="1:17">
      <c r="A64" s="193">
        <f t="shared" si="5"/>
        <v>51</v>
      </c>
      <c r="B64" s="166"/>
      <c r="C64" s="204" t="s">
        <v>301</v>
      </c>
      <c r="D64" s="154" t="s">
        <v>299</v>
      </c>
      <c r="E64" s="199">
        <f t="shared" si="6"/>
        <v>2022</v>
      </c>
      <c r="F64" s="200">
        <v>760709.53000000026</v>
      </c>
      <c r="G64" s="201"/>
      <c r="H64" s="201"/>
      <c r="I64" s="201"/>
      <c r="J64" s="201"/>
      <c r="K64" s="201"/>
      <c r="L64" s="201"/>
      <c r="M64" s="201"/>
      <c r="N64" s="201"/>
      <c r="O64" s="201"/>
      <c r="P64" s="201"/>
      <c r="Q64" s="201"/>
    </row>
    <row r="65" spans="1:13">
      <c r="A65" s="193">
        <f t="shared" si="5"/>
        <v>52</v>
      </c>
      <c r="C65" s="204" t="s">
        <v>302</v>
      </c>
      <c r="D65" s="154" t="s">
        <v>299</v>
      </c>
      <c r="E65" s="199">
        <f t="shared" si="6"/>
        <v>2022</v>
      </c>
      <c r="F65" s="200">
        <v>933456.30999999982</v>
      </c>
      <c r="G65" s="201"/>
      <c r="H65" s="202"/>
      <c r="I65" s="202"/>
      <c r="J65" s="197"/>
      <c r="K65" s="197"/>
      <c r="L65" s="197"/>
      <c r="M65" s="197"/>
    </row>
    <row r="66" spans="1:13">
      <c r="A66" s="193">
        <f t="shared" si="5"/>
        <v>53</v>
      </c>
      <c r="C66" s="204" t="s">
        <v>303</v>
      </c>
      <c r="D66" s="154" t="s">
        <v>299</v>
      </c>
      <c r="E66" s="199">
        <f t="shared" si="6"/>
        <v>2022</v>
      </c>
      <c r="F66" s="200">
        <v>-151999.05000000005</v>
      </c>
    </row>
    <row r="67" spans="1:13">
      <c r="A67" s="193">
        <f t="shared" si="5"/>
        <v>54</v>
      </c>
      <c r="C67" s="204" t="s">
        <v>304</v>
      </c>
      <c r="D67" s="154" t="s">
        <v>299</v>
      </c>
      <c r="E67" s="199">
        <f t="shared" si="6"/>
        <v>2022</v>
      </c>
      <c r="F67" s="200">
        <v>131.39000000013039</v>
      </c>
      <c r="G67" s="201"/>
      <c r="H67" s="202"/>
      <c r="I67" s="203"/>
      <c r="J67" s="197"/>
      <c r="K67" s="197"/>
      <c r="L67" s="197"/>
      <c r="M67" s="197"/>
    </row>
    <row r="68" spans="1:13">
      <c r="A68" s="193">
        <f t="shared" si="5"/>
        <v>55</v>
      </c>
      <c r="C68" s="204" t="s">
        <v>305</v>
      </c>
      <c r="D68" s="154" t="s">
        <v>299</v>
      </c>
      <c r="E68" s="199">
        <f t="shared" si="6"/>
        <v>2022</v>
      </c>
      <c r="F68" s="200">
        <v>159919.15000000014</v>
      </c>
      <c r="G68" s="205"/>
      <c r="J68" s="197"/>
      <c r="K68" s="197"/>
      <c r="L68" s="197"/>
      <c r="M68" s="197"/>
    </row>
    <row r="69" spans="1:13">
      <c r="A69" s="193">
        <f t="shared" si="5"/>
        <v>56</v>
      </c>
      <c r="B69" s="166"/>
      <c r="C69" s="204" t="s">
        <v>306</v>
      </c>
      <c r="D69" s="154" t="s">
        <v>299</v>
      </c>
      <c r="E69" s="199">
        <f t="shared" si="6"/>
        <v>2022</v>
      </c>
      <c r="F69" s="200">
        <v>331789.04000000004</v>
      </c>
      <c r="G69" s="201"/>
      <c r="H69" s="202"/>
      <c r="I69" s="202"/>
      <c r="J69" s="197"/>
      <c r="K69" s="197"/>
      <c r="L69" s="197"/>
      <c r="M69" s="197"/>
    </row>
    <row r="70" spans="1:13">
      <c r="A70" s="193">
        <f t="shared" si="5"/>
        <v>57</v>
      </c>
      <c r="B70" s="166"/>
      <c r="C70" s="204" t="s">
        <v>307</v>
      </c>
      <c r="D70" s="154" t="s">
        <v>299</v>
      </c>
      <c r="E70" s="199">
        <f t="shared" si="6"/>
        <v>2022</v>
      </c>
      <c r="F70" s="200">
        <v>488337.6100000001</v>
      </c>
      <c r="G70" s="201"/>
      <c r="H70" s="202"/>
      <c r="I70" s="202"/>
      <c r="J70" s="197"/>
      <c r="K70" s="197"/>
      <c r="L70" s="197"/>
      <c r="M70" s="197"/>
    </row>
    <row r="71" spans="1:13">
      <c r="A71" s="193">
        <f t="shared" si="5"/>
        <v>58</v>
      </c>
      <c r="C71" s="204" t="s">
        <v>314</v>
      </c>
      <c r="D71" s="154" t="s">
        <v>299</v>
      </c>
      <c r="E71" s="199">
        <f t="shared" si="6"/>
        <v>2022</v>
      </c>
      <c r="F71" s="200">
        <v>646959.76999999979</v>
      </c>
      <c r="G71" s="201"/>
      <c r="H71" s="202"/>
      <c r="I71" s="202"/>
      <c r="J71" s="197"/>
      <c r="K71" s="197"/>
      <c r="L71" s="197"/>
      <c r="M71" s="197"/>
    </row>
    <row r="72" spans="1:13">
      <c r="A72" s="193">
        <f t="shared" si="5"/>
        <v>59</v>
      </c>
      <c r="C72" s="204" t="s">
        <v>309</v>
      </c>
      <c r="D72" s="154" t="s">
        <v>299</v>
      </c>
      <c r="E72" s="199">
        <f t="shared" si="6"/>
        <v>2022</v>
      </c>
      <c r="F72" s="200">
        <v>809344.61999999988</v>
      </c>
      <c r="H72" s="202"/>
      <c r="I72" s="202"/>
      <c r="J72" s="197"/>
      <c r="K72" s="197"/>
      <c r="L72" s="197"/>
      <c r="M72" s="197"/>
    </row>
    <row r="73" spans="1:13">
      <c r="A73" s="193">
        <f t="shared" si="5"/>
        <v>60</v>
      </c>
      <c r="C73" s="206" t="s">
        <v>296</v>
      </c>
      <c r="D73" s="207" t="s">
        <v>326</v>
      </c>
      <c r="E73" s="208">
        <f t="shared" si="6"/>
        <v>2022</v>
      </c>
      <c r="F73" s="200">
        <v>1384531</v>
      </c>
      <c r="G73" s="214"/>
    </row>
    <row r="74" spans="1:13">
      <c r="A74" s="193">
        <f t="shared" si="5"/>
        <v>61</v>
      </c>
      <c r="C74" s="211" t="s">
        <v>327</v>
      </c>
      <c r="D74" s="154" t="str">
        <f>"(sum lines "&amp;A61&amp;"-"&amp;A73&amp;") /13"</f>
        <v>(sum lines 48-60) /13</v>
      </c>
      <c r="E74" s="215"/>
      <c r="F74" s="213">
        <f>SUM(F61:F73)/13</f>
        <v>841202.93384615378</v>
      </c>
      <c r="G74" s="210"/>
      <c r="J74" s="197"/>
      <c r="K74" s="197"/>
      <c r="L74" s="197"/>
      <c r="M74" s="197"/>
    </row>
    <row r="75" spans="1:13">
      <c r="A75" s="193"/>
      <c r="B75" s="166"/>
      <c r="C75" s="204"/>
      <c r="E75" s="215"/>
      <c r="F75" s="216"/>
      <c r="G75" s="201"/>
      <c r="H75" s="202"/>
      <c r="I75" s="202"/>
      <c r="J75" s="197"/>
      <c r="K75" s="197"/>
      <c r="L75" s="197"/>
      <c r="M75" s="197"/>
    </row>
    <row r="76" spans="1:13">
      <c r="A76" s="193">
        <f>+A74+1</f>
        <v>62</v>
      </c>
      <c r="C76" s="194" t="s">
        <v>328</v>
      </c>
      <c r="D76" s="154" t="s">
        <v>59</v>
      </c>
      <c r="E76" s="217"/>
      <c r="F76" s="218"/>
      <c r="J76" s="197"/>
      <c r="K76" s="197"/>
      <c r="L76" s="197"/>
      <c r="M76" s="197"/>
    </row>
    <row r="77" spans="1:13">
      <c r="A77" s="193">
        <f>+A76+1</f>
        <v>63</v>
      </c>
      <c r="C77" s="154" t="s">
        <v>296</v>
      </c>
      <c r="D77" s="198" t="s">
        <v>329</v>
      </c>
      <c r="E77" s="199">
        <f>+$E$8</f>
        <v>2021</v>
      </c>
      <c r="F77" s="200">
        <v>16534.599999999999</v>
      </c>
      <c r="G77" s="201"/>
      <c r="H77" s="202"/>
      <c r="I77" s="203"/>
      <c r="J77" s="197"/>
      <c r="K77" s="197"/>
      <c r="L77" s="197"/>
      <c r="M77" s="197"/>
    </row>
    <row r="78" spans="1:13">
      <c r="A78" s="193">
        <f t="shared" ref="A78:A89" si="7">+A77+1</f>
        <v>64</v>
      </c>
      <c r="C78" s="204" t="s">
        <v>298</v>
      </c>
      <c r="D78" s="154" t="s">
        <v>299</v>
      </c>
      <c r="E78" s="199">
        <f>+$E$9</f>
        <v>2022</v>
      </c>
      <c r="F78" s="200">
        <v>29808.12</v>
      </c>
      <c r="G78" s="201"/>
      <c r="H78" s="202"/>
      <c r="I78" s="203"/>
      <c r="J78" s="197"/>
      <c r="K78" s="197"/>
      <c r="L78" s="197"/>
      <c r="M78" s="197"/>
    </row>
    <row r="79" spans="1:13">
      <c r="A79" s="193">
        <f t="shared" si="7"/>
        <v>65</v>
      </c>
      <c r="C79" s="204" t="s">
        <v>300</v>
      </c>
      <c r="D79" s="154" t="s">
        <v>299</v>
      </c>
      <c r="E79" s="199">
        <f t="shared" ref="E79:E89" si="8">+$E$9</f>
        <v>2022</v>
      </c>
      <c r="F79" s="200">
        <v>43081.64</v>
      </c>
      <c r="G79" s="201"/>
      <c r="H79" s="202"/>
      <c r="I79" s="203"/>
      <c r="J79" s="197"/>
      <c r="K79" s="197"/>
      <c r="L79" s="197"/>
      <c r="M79" s="197"/>
    </row>
    <row r="80" spans="1:13">
      <c r="A80" s="193">
        <f t="shared" si="7"/>
        <v>66</v>
      </c>
      <c r="C80" s="204" t="s">
        <v>301</v>
      </c>
      <c r="D80" s="154" t="s">
        <v>299</v>
      </c>
      <c r="E80" s="199">
        <f t="shared" si="8"/>
        <v>2022</v>
      </c>
      <c r="F80" s="200">
        <v>56355.16</v>
      </c>
      <c r="G80" s="201"/>
      <c r="H80" s="202"/>
      <c r="I80" s="203"/>
      <c r="J80" s="197"/>
      <c r="K80" s="197"/>
      <c r="L80" s="197"/>
      <c r="M80" s="197"/>
    </row>
    <row r="81" spans="1:13">
      <c r="A81" s="193">
        <f t="shared" si="7"/>
        <v>67</v>
      </c>
      <c r="C81" s="204" t="s">
        <v>302</v>
      </c>
      <c r="D81" s="154" t="s">
        <v>299</v>
      </c>
      <c r="E81" s="199">
        <f t="shared" si="8"/>
        <v>2022</v>
      </c>
      <c r="F81" s="200">
        <v>69628.680000000008</v>
      </c>
      <c r="G81" s="201"/>
      <c r="H81" s="202"/>
      <c r="I81" s="203"/>
      <c r="J81" s="197"/>
      <c r="K81" s="197"/>
      <c r="L81" s="197"/>
      <c r="M81" s="197"/>
    </row>
    <row r="82" spans="1:13">
      <c r="A82" s="193">
        <f t="shared" si="7"/>
        <v>68</v>
      </c>
      <c r="C82" s="204" t="s">
        <v>303</v>
      </c>
      <c r="D82" s="154" t="s">
        <v>299</v>
      </c>
      <c r="E82" s="199">
        <f t="shared" si="8"/>
        <v>2022</v>
      </c>
      <c r="F82" s="200">
        <v>83215.12</v>
      </c>
      <c r="G82" s="201"/>
      <c r="H82" s="202"/>
      <c r="I82" s="203"/>
      <c r="J82" s="197"/>
      <c r="K82" s="197"/>
      <c r="L82" s="197"/>
      <c r="M82" s="197"/>
    </row>
    <row r="83" spans="1:13">
      <c r="A83" s="193">
        <f t="shared" si="7"/>
        <v>69</v>
      </c>
      <c r="C83" s="204" t="s">
        <v>304</v>
      </c>
      <c r="D83" s="154" t="s">
        <v>299</v>
      </c>
      <c r="E83" s="199">
        <f t="shared" si="8"/>
        <v>2022</v>
      </c>
      <c r="F83" s="200">
        <v>97120.56</v>
      </c>
      <c r="G83" s="201"/>
      <c r="H83" s="202"/>
      <c r="I83" s="203"/>
      <c r="J83" s="197"/>
      <c r="K83" s="197"/>
      <c r="L83" s="197"/>
      <c r="M83" s="197"/>
    </row>
    <row r="84" spans="1:13">
      <c r="A84" s="193">
        <f t="shared" si="7"/>
        <v>70</v>
      </c>
      <c r="C84" s="204" t="s">
        <v>305</v>
      </c>
      <c r="D84" s="154" t="s">
        <v>299</v>
      </c>
      <c r="E84" s="199">
        <f t="shared" si="8"/>
        <v>2022</v>
      </c>
      <c r="F84" s="200">
        <v>111677.26000000001</v>
      </c>
      <c r="G84" s="201"/>
      <c r="H84" s="202"/>
      <c r="I84" s="203"/>
      <c r="J84" s="197"/>
      <c r="K84" s="197"/>
      <c r="L84" s="197"/>
      <c r="M84" s="197"/>
    </row>
    <row r="85" spans="1:13">
      <c r="A85" s="193">
        <f t="shared" si="7"/>
        <v>71</v>
      </c>
      <c r="C85" s="204" t="s">
        <v>306</v>
      </c>
      <c r="D85" s="154" t="s">
        <v>299</v>
      </c>
      <c r="E85" s="199">
        <f t="shared" si="8"/>
        <v>2022</v>
      </c>
      <c r="F85" s="200">
        <v>127754.27</v>
      </c>
      <c r="G85" s="201"/>
      <c r="H85" s="202"/>
      <c r="I85" s="203"/>
      <c r="J85" s="197"/>
      <c r="K85" s="197"/>
      <c r="L85" s="197"/>
      <c r="M85" s="197"/>
    </row>
    <row r="86" spans="1:13">
      <c r="A86" s="193">
        <f t="shared" si="7"/>
        <v>72</v>
      </c>
      <c r="C86" s="204" t="s">
        <v>307</v>
      </c>
      <c r="D86" s="154" t="s">
        <v>299</v>
      </c>
      <c r="E86" s="199">
        <f t="shared" si="8"/>
        <v>2022</v>
      </c>
      <c r="F86" s="200">
        <v>145546.70000000001</v>
      </c>
      <c r="G86" s="201"/>
      <c r="H86" s="202"/>
      <c r="I86" s="203"/>
      <c r="J86" s="197"/>
      <c r="K86" s="197"/>
      <c r="L86" s="197"/>
      <c r="M86" s="197"/>
    </row>
    <row r="87" spans="1:13">
      <c r="A87" s="193">
        <f t="shared" si="7"/>
        <v>73</v>
      </c>
      <c r="C87" s="204" t="s">
        <v>308</v>
      </c>
      <c r="D87" s="154" t="s">
        <v>299</v>
      </c>
      <c r="E87" s="199">
        <f t="shared" si="8"/>
        <v>2022</v>
      </c>
      <c r="F87" s="200">
        <v>164261.55000000002</v>
      </c>
      <c r="G87" s="201"/>
      <c r="H87" s="202"/>
      <c r="I87" s="203"/>
      <c r="J87" s="197"/>
      <c r="K87" s="197"/>
      <c r="L87" s="197"/>
      <c r="M87" s="197"/>
    </row>
    <row r="88" spans="1:13">
      <c r="A88" s="193">
        <f t="shared" si="7"/>
        <v>74</v>
      </c>
      <c r="C88" s="204" t="s">
        <v>309</v>
      </c>
      <c r="D88" s="154" t="s">
        <v>299</v>
      </c>
      <c r="E88" s="199">
        <f t="shared" si="8"/>
        <v>2022</v>
      </c>
      <c r="F88" s="200">
        <v>183043.52</v>
      </c>
      <c r="G88" s="201"/>
      <c r="H88" s="202"/>
      <c r="I88" s="203"/>
      <c r="J88" s="197"/>
      <c r="K88" s="197"/>
      <c r="L88" s="197"/>
      <c r="M88" s="197"/>
    </row>
    <row r="89" spans="1:13">
      <c r="A89" s="193">
        <f t="shared" si="7"/>
        <v>75</v>
      </c>
      <c r="C89" s="206" t="s">
        <v>296</v>
      </c>
      <c r="D89" s="207" t="s">
        <v>330</v>
      </c>
      <c r="E89" s="208">
        <f t="shared" si="8"/>
        <v>2022</v>
      </c>
      <c r="F89" s="200">
        <v>201846.65</v>
      </c>
      <c r="G89" s="214"/>
    </row>
    <row r="90" spans="1:13">
      <c r="A90" s="193">
        <f>+A89+1</f>
        <v>76</v>
      </c>
      <c r="C90" s="211" t="s">
        <v>331</v>
      </c>
      <c r="D90" s="154" t="str">
        <f>"(sum lines "&amp;A77&amp;" - "&amp;A89&amp;") /13"</f>
        <v>(sum lines 63 - 75) /13</v>
      </c>
      <c r="E90" s="215"/>
      <c r="F90" s="213">
        <f>SUM(F77:F89)/13</f>
        <v>102297.98692307693</v>
      </c>
      <c r="G90" s="210"/>
      <c r="J90" s="197"/>
      <c r="K90" s="197"/>
      <c r="L90" s="197"/>
      <c r="M90" s="197"/>
    </row>
    <row r="91" spans="1:13">
      <c r="A91" s="193"/>
      <c r="C91" s="204"/>
      <c r="E91" s="220"/>
      <c r="F91" s="216"/>
      <c r="G91" s="201"/>
      <c r="H91" s="202"/>
      <c r="I91" s="202"/>
      <c r="J91" s="197"/>
      <c r="K91" s="197"/>
      <c r="L91" s="197"/>
      <c r="M91" s="197"/>
    </row>
    <row r="92" spans="1:13">
      <c r="A92" s="193">
        <f>+A90+1</f>
        <v>77</v>
      </c>
      <c r="C92" s="194" t="s">
        <v>332</v>
      </c>
      <c r="D92" s="154" t="s">
        <v>59</v>
      </c>
      <c r="E92" s="217"/>
      <c r="F92" s="218"/>
      <c r="J92" s="197"/>
      <c r="K92" s="197"/>
      <c r="L92" s="197"/>
      <c r="M92" s="197"/>
    </row>
    <row r="93" spans="1:13">
      <c r="A93" s="193">
        <f>+A92+1</f>
        <v>78</v>
      </c>
      <c r="C93" s="154" t="s">
        <v>296</v>
      </c>
      <c r="D93" s="198" t="s">
        <v>333</v>
      </c>
      <c r="E93" s="199">
        <f>+$E$8</f>
        <v>2021</v>
      </c>
      <c r="F93" s="200">
        <v>17038</v>
      </c>
      <c r="G93" s="201"/>
      <c r="H93" s="202"/>
      <c r="I93" s="203"/>
      <c r="J93" s="197"/>
      <c r="K93" s="197"/>
      <c r="L93" s="197"/>
      <c r="M93" s="197"/>
    </row>
    <row r="94" spans="1:13">
      <c r="A94" s="193">
        <f t="shared" ref="A94:A105" si="9">+A93+1</f>
        <v>79</v>
      </c>
      <c r="C94" s="204" t="s">
        <v>298</v>
      </c>
      <c r="D94" s="154" t="s">
        <v>299</v>
      </c>
      <c r="E94" s="199">
        <f>+$E$9</f>
        <v>2022</v>
      </c>
      <c r="F94" s="200">
        <v>21618.98</v>
      </c>
      <c r="G94" s="201"/>
      <c r="H94" s="202"/>
      <c r="I94" s="203"/>
      <c r="J94" s="197"/>
      <c r="K94" s="197"/>
      <c r="L94" s="197"/>
      <c r="M94" s="197"/>
    </row>
    <row r="95" spans="1:13">
      <c r="A95" s="193">
        <f t="shared" si="9"/>
        <v>80</v>
      </c>
      <c r="C95" s="204" t="s">
        <v>300</v>
      </c>
      <c r="D95" s="154" t="s">
        <v>299</v>
      </c>
      <c r="E95" s="199">
        <f t="shared" ref="E95:E105" si="10">+$E$9</f>
        <v>2022</v>
      </c>
      <c r="F95" s="200">
        <v>26199.079999999998</v>
      </c>
      <c r="G95" s="201"/>
      <c r="H95" s="202"/>
      <c r="I95" s="203"/>
      <c r="J95" s="197"/>
      <c r="K95" s="197"/>
      <c r="L95" s="197"/>
      <c r="M95" s="197"/>
    </row>
    <row r="96" spans="1:13">
      <c r="A96" s="193">
        <f t="shared" si="9"/>
        <v>81</v>
      </c>
      <c r="C96" s="204" t="s">
        <v>301</v>
      </c>
      <c r="D96" s="154" t="s">
        <v>299</v>
      </c>
      <c r="E96" s="199">
        <f t="shared" si="10"/>
        <v>2022</v>
      </c>
      <c r="F96" s="200">
        <v>30779.18</v>
      </c>
      <c r="G96" s="201"/>
      <c r="H96" s="202"/>
      <c r="I96" s="203"/>
      <c r="J96" s="197"/>
      <c r="K96" s="197"/>
      <c r="L96" s="197"/>
      <c r="M96" s="197"/>
    </row>
    <row r="97" spans="1:13">
      <c r="A97" s="193">
        <f t="shared" si="9"/>
        <v>82</v>
      </c>
      <c r="C97" s="204" t="s">
        <v>302</v>
      </c>
      <c r="D97" s="154" t="s">
        <v>299</v>
      </c>
      <c r="E97" s="199">
        <f t="shared" si="10"/>
        <v>2022</v>
      </c>
      <c r="F97" s="200">
        <v>35359.279999999999</v>
      </c>
      <c r="G97" s="201"/>
      <c r="H97" s="202"/>
      <c r="I97" s="203"/>
      <c r="J97" s="197"/>
      <c r="K97" s="197"/>
      <c r="L97" s="197"/>
      <c r="M97" s="197"/>
    </row>
    <row r="98" spans="1:13">
      <c r="A98" s="193">
        <f t="shared" si="9"/>
        <v>83</v>
      </c>
      <c r="C98" s="204" t="s">
        <v>303</v>
      </c>
      <c r="D98" s="154" t="s">
        <v>299</v>
      </c>
      <c r="E98" s="199">
        <f t="shared" si="10"/>
        <v>2022</v>
      </c>
      <c r="F98" s="200">
        <v>39939.379999999997</v>
      </c>
      <c r="G98" s="201"/>
      <c r="H98" s="202"/>
      <c r="I98" s="203"/>
      <c r="J98" s="197"/>
      <c r="K98" s="197"/>
      <c r="L98" s="197"/>
      <c r="M98" s="197"/>
    </row>
    <row r="99" spans="1:13">
      <c r="A99" s="193">
        <f t="shared" si="9"/>
        <v>84</v>
      </c>
      <c r="C99" s="204" t="s">
        <v>304</v>
      </c>
      <c r="D99" s="154" t="s">
        <v>299</v>
      </c>
      <c r="E99" s="199">
        <f t="shared" si="10"/>
        <v>2022</v>
      </c>
      <c r="F99" s="200">
        <v>44519.479999999996</v>
      </c>
      <c r="G99" s="201"/>
      <c r="H99" s="202"/>
      <c r="I99" s="203"/>
      <c r="J99" s="197"/>
      <c r="K99" s="197"/>
      <c r="L99" s="197"/>
      <c r="M99" s="197"/>
    </row>
    <row r="100" spans="1:13">
      <c r="A100" s="193">
        <f t="shared" si="9"/>
        <v>85</v>
      </c>
      <c r="C100" s="204" t="s">
        <v>305</v>
      </c>
      <c r="D100" s="154" t="s">
        <v>299</v>
      </c>
      <c r="E100" s="199">
        <f t="shared" si="10"/>
        <v>2022</v>
      </c>
      <c r="F100" s="200">
        <v>49099.579999999994</v>
      </c>
      <c r="G100" s="201"/>
      <c r="H100" s="202"/>
      <c r="I100" s="203"/>
      <c r="J100" s="197"/>
      <c r="K100" s="197"/>
      <c r="L100" s="197"/>
      <c r="M100" s="197"/>
    </row>
    <row r="101" spans="1:13">
      <c r="A101" s="193">
        <f t="shared" si="9"/>
        <v>86</v>
      </c>
      <c r="C101" s="204" t="s">
        <v>306</v>
      </c>
      <c r="D101" s="154" t="s">
        <v>299</v>
      </c>
      <c r="E101" s="199">
        <f t="shared" si="10"/>
        <v>2022</v>
      </c>
      <c r="F101" s="200">
        <v>53720.72</v>
      </c>
      <c r="G101" s="201"/>
      <c r="H101" s="202"/>
      <c r="I101" s="203"/>
      <c r="J101" s="197"/>
      <c r="K101" s="197"/>
      <c r="L101" s="197"/>
      <c r="M101" s="197"/>
    </row>
    <row r="102" spans="1:13">
      <c r="A102" s="193">
        <f t="shared" si="9"/>
        <v>87</v>
      </c>
      <c r="C102" s="204" t="s">
        <v>307</v>
      </c>
      <c r="D102" s="154" t="s">
        <v>299</v>
      </c>
      <c r="E102" s="199">
        <f t="shared" si="10"/>
        <v>2022</v>
      </c>
      <c r="F102" s="200">
        <v>58382.890000000007</v>
      </c>
      <c r="G102" s="201"/>
      <c r="H102" s="202"/>
      <c r="I102" s="203"/>
      <c r="J102" s="197"/>
      <c r="K102" s="197"/>
      <c r="L102" s="197"/>
      <c r="M102" s="197"/>
    </row>
    <row r="103" spans="1:13">
      <c r="A103" s="193">
        <f t="shared" si="9"/>
        <v>88</v>
      </c>
      <c r="C103" s="204" t="s">
        <v>308</v>
      </c>
      <c r="D103" s="154" t="s">
        <v>299</v>
      </c>
      <c r="E103" s="199">
        <f t="shared" si="10"/>
        <v>2022</v>
      </c>
      <c r="F103" s="200">
        <v>63079.240000000005</v>
      </c>
      <c r="G103" s="201"/>
      <c r="H103" s="202"/>
      <c r="I103" s="203"/>
      <c r="J103" s="197"/>
      <c r="K103" s="197"/>
      <c r="L103" s="197"/>
      <c r="M103" s="197"/>
    </row>
    <row r="104" spans="1:13">
      <c r="A104" s="193">
        <f t="shared" si="9"/>
        <v>89</v>
      </c>
      <c r="C104" s="204" t="s">
        <v>309</v>
      </c>
      <c r="D104" s="154" t="s">
        <v>299</v>
      </c>
      <c r="E104" s="199">
        <f t="shared" si="10"/>
        <v>2022</v>
      </c>
      <c r="F104" s="200">
        <v>67809.78</v>
      </c>
      <c r="G104" s="201"/>
      <c r="H104" s="202"/>
      <c r="I104" s="203"/>
      <c r="J104" s="197"/>
      <c r="K104" s="197"/>
      <c r="L104" s="197"/>
      <c r="M104" s="197"/>
    </row>
    <row r="105" spans="1:13">
      <c r="A105" s="193">
        <f t="shared" si="9"/>
        <v>90</v>
      </c>
      <c r="C105" s="206" t="s">
        <v>296</v>
      </c>
      <c r="D105" s="207" t="s">
        <v>334</v>
      </c>
      <c r="E105" s="208">
        <f t="shared" si="10"/>
        <v>2022</v>
      </c>
      <c r="F105" s="209">
        <v>34579</v>
      </c>
      <c r="G105" s="214"/>
    </row>
    <row r="106" spans="1:13">
      <c r="A106" s="193">
        <f>+A105+1</f>
        <v>91</v>
      </c>
      <c r="C106" s="211" t="s">
        <v>335</v>
      </c>
      <c r="D106" s="154" t="str">
        <f>"(sum lines "&amp;A93&amp;" - "&amp;A105&amp;") /13"</f>
        <v>(sum lines 78 - 90) /13</v>
      </c>
      <c r="E106" s="215"/>
      <c r="F106" s="213">
        <f>SUM(F93:F105)/13</f>
        <v>41701.891538461547</v>
      </c>
      <c r="G106" s="210"/>
      <c r="J106" s="197"/>
      <c r="K106" s="197"/>
      <c r="L106" s="197"/>
      <c r="M106" s="197"/>
    </row>
    <row r="107" spans="1:13">
      <c r="A107" s="193"/>
      <c r="C107" s="204"/>
      <c r="D107" s="198"/>
      <c r="E107" s="220"/>
      <c r="F107" s="231"/>
    </row>
    <row r="108" spans="1:13">
      <c r="A108" s="193">
        <f>+A106+1</f>
        <v>92</v>
      </c>
      <c r="C108" s="194" t="s">
        <v>336</v>
      </c>
      <c r="D108" s="198" t="str">
        <f>"(sum lines "&amp;A74&amp;", "&amp;A90&amp;", and "&amp;A106&amp;")"</f>
        <v>(sum lines 61, 76, and 91)</v>
      </c>
      <c r="E108" s="212"/>
      <c r="F108" s="222">
        <f>F74+F90+F106</f>
        <v>985202.81230769225</v>
      </c>
      <c r="G108" s="223"/>
      <c r="H108" s="232"/>
    </row>
    <row r="109" spans="1:13">
      <c r="B109" s="166"/>
      <c r="C109" s="204"/>
      <c r="E109" s="221"/>
      <c r="F109" s="204"/>
      <c r="G109" s="223"/>
      <c r="H109" s="202"/>
      <c r="I109" s="202"/>
      <c r="J109" s="197"/>
      <c r="K109" s="197"/>
      <c r="L109" s="197"/>
      <c r="M109" s="197"/>
    </row>
    <row r="110" spans="1:13">
      <c r="B110" s="166"/>
      <c r="C110" s="204" t="s">
        <v>337</v>
      </c>
      <c r="E110" s="221"/>
      <c r="F110" s="204"/>
      <c r="G110" s="223"/>
      <c r="H110" s="202"/>
      <c r="I110" s="202"/>
      <c r="J110" s="197"/>
      <c r="K110" s="197"/>
      <c r="L110" s="197"/>
      <c r="M110" s="197"/>
    </row>
    <row r="111" spans="1:13">
      <c r="C111" s="154" t="s">
        <v>338</v>
      </c>
    </row>
    <row r="163" spans="8:8">
      <c r="H163" s="233"/>
    </row>
  </sheetData>
  <mergeCells count="8">
    <mergeCell ref="A59:F59"/>
    <mergeCell ref="J59:M59"/>
    <mergeCell ref="A1:F1"/>
    <mergeCell ref="A2:F2"/>
    <mergeCell ref="C3:D3"/>
    <mergeCell ref="C4:D4"/>
    <mergeCell ref="A6:F6"/>
    <mergeCell ref="J6:M6"/>
  </mergeCells>
  <printOptions horizontalCentered="1"/>
  <pageMargins left="0.25" right="0.25" top="0.75" bottom="0.75" header="0.5" footer="0.5"/>
  <pageSetup scale="56" fitToHeight="0" orientation="landscape" r:id="rId1"/>
  <headerFooter alignWithMargins="0"/>
  <rowBreaks count="1" manualBreakCount="1">
    <brk id="56" max="5"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CE464-82D1-4B3D-85BE-526C1C2E68CD}">
  <sheetPr>
    <tabColor rgb="FF92D050"/>
    <pageSetUpPr fitToPage="1"/>
  </sheetPr>
  <dimension ref="A1:M184"/>
  <sheetViews>
    <sheetView view="pageBreakPreview" topLeftCell="A136" zoomScale="80" zoomScaleNormal="75" zoomScaleSheetLayoutView="80" workbookViewId="0">
      <selection activeCell="E170" sqref="E170"/>
    </sheetView>
  </sheetViews>
  <sheetFormatPr defaultColWidth="8.90625" defaultRowHeight="15.6"/>
  <cols>
    <col min="1" max="1" width="5" style="166" customWidth="1"/>
    <col min="2" max="2" width="3.36328125" style="154" customWidth="1"/>
    <col min="3" max="3" width="48.36328125" style="154" customWidth="1"/>
    <col min="4" max="4" width="22" style="154" customWidth="1"/>
    <col min="5" max="5" width="13.6328125" style="154" customWidth="1"/>
    <col min="6" max="6" width="18.08984375" style="154" customWidth="1"/>
    <col min="7" max="7" width="15.36328125" style="154" customWidth="1"/>
    <col min="8" max="8" width="11.90625" style="154" customWidth="1"/>
    <col min="9" max="9" width="13" style="154" customWidth="1"/>
    <col min="10" max="10" width="10.6328125" style="154" customWidth="1"/>
    <col min="11" max="11" width="9" style="154" customWidth="1"/>
    <col min="12" max="12" width="7.54296875" style="154" customWidth="1"/>
    <col min="13" max="13" width="8.1796875" style="154" bestFit="1" customWidth="1"/>
    <col min="14" max="16384" width="8.90625" style="167"/>
  </cols>
  <sheetData>
    <row r="1" spans="1:13">
      <c r="B1" s="166"/>
      <c r="C1" s="204"/>
      <c r="E1" s="221"/>
      <c r="F1" s="204"/>
      <c r="G1" s="234"/>
      <c r="H1" s="166"/>
      <c r="I1" s="166"/>
      <c r="J1" s="235"/>
      <c r="K1" s="235"/>
      <c r="L1" s="235"/>
      <c r="M1" s="235"/>
    </row>
    <row r="2" spans="1:13" ht="16.2" thickBot="1">
      <c r="A2" s="191" t="str">
        <f>+'Appendix III'!C80</f>
        <v>ADJUSTMENTS TO RATE BASE       (Note A)</v>
      </c>
      <c r="K2" s="154" t="s">
        <v>3</v>
      </c>
    </row>
    <row r="3" spans="1:13" ht="50.25" customHeight="1" thickBot="1">
      <c r="A3" s="908" t="s">
        <v>292</v>
      </c>
      <c r="B3" s="909"/>
      <c r="C3" s="909"/>
      <c r="D3" s="909"/>
      <c r="E3" s="909"/>
      <c r="F3" s="910"/>
      <c r="G3" s="236"/>
      <c r="H3" s="236"/>
      <c r="I3" s="236"/>
      <c r="J3" s="911" t="s">
        <v>339</v>
      </c>
      <c r="K3" s="912"/>
      <c r="L3" s="912"/>
      <c r="M3" s="913"/>
    </row>
    <row r="4" spans="1:13">
      <c r="A4" s="237"/>
      <c r="B4" s="238"/>
      <c r="C4" s="239"/>
      <c r="D4" s="240"/>
      <c r="E4" s="238" t="s">
        <v>340</v>
      </c>
      <c r="F4" s="238" t="s">
        <v>341</v>
      </c>
      <c r="G4" s="241" t="s">
        <v>342</v>
      </c>
      <c r="H4" s="242"/>
      <c r="I4" s="243"/>
      <c r="J4" s="244"/>
      <c r="K4" s="245"/>
      <c r="L4" s="245"/>
      <c r="M4" s="246"/>
    </row>
    <row r="5" spans="1:13" s="5" customFormat="1">
      <c r="A5" s="247">
        <f>+'2 - Cost Support '!A108+1</f>
        <v>93</v>
      </c>
      <c r="B5" s="1"/>
      <c r="C5" s="1" t="s">
        <v>343</v>
      </c>
      <c r="D5" s="1" t="s">
        <v>344</v>
      </c>
      <c r="E5" s="248">
        <v>0</v>
      </c>
      <c r="F5" s="248">
        <v>0</v>
      </c>
      <c r="G5" s="249">
        <f>+E5/2+F5/2</f>
        <v>0</v>
      </c>
      <c r="H5" s="250"/>
      <c r="I5" s="8"/>
      <c r="J5" s="8"/>
      <c r="K5" s="8"/>
      <c r="L5" s="43"/>
      <c r="M5" s="251"/>
    </row>
    <row r="6" spans="1:13" s="5" customFormat="1">
      <c r="A6" s="247"/>
      <c r="B6" s="1"/>
      <c r="C6" s="1"/>
      <c r="D6" s="1"/>
      <c r="E6" s="8"/>
      <c r="F6" s="8"/>
      <c r="G6" s="249"/>
      <c r="H6" s="250"/>
      <c r="I6" s="8"/>
      <c r="J6" s="8"/>
      <c r="K6" s="8"/>
      <c r="L6" s="43"/>
      <c r="M6" s="251"/>
    </row>
    <row r="7" spans="1:13" s="5" customFormat="1">
      <c r="A7" s="247">
        <f>+A5+1</f>
        <v>94</v>
      </c>
      <c r="B7" s="1"/>
      <c r="C7" s="1" t="s">
        <v>92</v>
      </c>
      <c r="D7" s="8" t="s">
        <v>345</v>
      </c>
      <c r="E7" s="252">
        <v>0</v>
      </c>
      <c r="F7" s="252">
        <v>0</v>
      </c>
      <c r="G7" s="253">
        <f>+E7/2+F7/2</f>
        <v>0</v>
      </c>
      <c r="H7" s="250"/>
      <c r="I7" s="8"/>
      <c r="J7" s="8"/>
      <c r="K7" s="8"/>
      <c r="L7" s="43"/>
      <c r="M7" s="251"/>
    </row>
    <row r="8" spans="1:13" s="5" customFormat="1">
      <c r="A8" s="247"/>
      <c r="B8" s="1"/>
      <c r="C8" s="1" t="s">
        <v>346</v>
      </c>
      <c r="D8" s="8"/>
      <c r="E8" s="8"/>
      <c r="F8" s="8"/>
      <c r="G8" s="249"/>
      <c r="H8" s="250"/>
      <c r="I8" s="8"/>
      <c r="J8" s="1"/>
      <c r="K8" s="8"/>
      <c r="L8" s="43"/>
      <c r="M8" s="251"/>
    </row>
    <row r="9" spans="1:13" s="5" customFormat="1">
      <c r="A9" s="247">
        <f>+A7+1</f>
        <v>95</v>
      </c>
      <c r="B9" s="1"/>
      <c r="C9" s="1" t="s">
        <v>347</v>
      </c>
      <c r="D9" s="8"/>
      <c r="E9" s="8"/>
      <c r="F9" s="254">
        <v>0</v>
      </c>
      <c r="G9" s="249"/>
      <c r="H9" s="250"/>
      <c r="I9" s="8"/>
      <c r="J9" s="1"/>
      <c r="K9" s="8"/>
      <c r="L9" s="43"/>
      <c r="M9" s="251"/>
    </row>
    <row r="10" spans="1:13" s="5" customFormat="1">
      <c r="A10" s="247"/>
      <c r="B10" s="1"/>
      <c r="C10" s="1" t="str">
        <f>+C8</f>
        <v xml:space="preserve">  (recovery of abandoned plant requires a FERC order approving the amount and recovery period and Attachment 11 being completed)</v>
      </c>
      <c r="D10" s="8"/>
      <c r="E10" s="8"/>
      <c r="F10" s="8"/>
      <c r="G10" s="249"/>
      <c r="H10" s="250"/>
      <c r="I10" s="8"/>
      <c r="J10" s="1"/>
      <c r="K10" s="8"/>
      <c r="L10" s="43"/>
      <c r="M10" s="251"/>
    </row>
    <row r="11" spans="1:13" s="5" customFormat="1">
      <c r="A11" s="247">
        <f>+A9+1</f>
        <v>96</v>
      </c>
      <c r="B11" s="1"/>
      <c r="C11" s="1" t="s">
        <v>348</v>
      </c>
      <c r="D11" s="1"/>
      <c r="E11" s="234"/>
      <c r="F11" s="234"/>
      <c r="G11" s="249"/>
      <c r="H11" s="250"/>
      <c r="I11" s="8"/>
      <c r="J11" s="8"/>
      <c r="K11" s="8"/>
      <c r="L11" s="43"/>
      <c r="M11" s="251"/>
    </row>
    <row r="12" spans="1:13" s="5" customFormat="1">
      <c r="A12" s="247"/>
      <c r="B12" s="1"/>
      <c r="C12" s="1" t="s">
        <v>349</v>
      </c>
      <c r="D12" s="1"/>
      <c r="E12" s="166" t="s">
        <v>294</v>
      </c>
      <c r="F12" s="255" t="s">
        <v>295</v>
      </c>
      <c r="G12" s="256"/>
      <c r="H12" s="250"/>
      <c r="I12" s="8"/>
      <c r="J12" s="8"/>
      <c r="K12" s="8"/>
      <c r="L12" s="43"/>
      <c r="M12" s="251"/>
    </row>
    <row r="13" spans="1:13" s="5" customFormat="1">
      <c r="A13" s="193">
        <f>+A11+1</f>
        <v>97</v>
      </c>
      <c r="B13" s="166"/>
      <c r="C13" s="154" t="s">
        <v>296</v>
      </c>
      <c r="D13" s="8" t="s">
        <v>350</v>
      </c>
      <c r="E13" s="199">
        <v>2021</v>
      </c>
      <c r="F13" s="257">
        <v>11837</v>
      </c>
      <c r="G13" s="1"/>
      <c r="H13" s="1"/>
      <c r="I13" s="8"/>
      <c r="J13" s="8"/>
      <c r="K13" s="8"/>
      <c r="L13" s="43"/>
      <c r="M13" s="251"/>
    </row>
    <row r="14" spans="1:13" s="5" customFormat="1">
      <c r="A14" s="193">
        <f t="shared" ref="A14:A26" si="0">+A13+1</f>
        <v>98</v>
      </c>
      <c r="B14" s="166"/>
      <c r="C14" s="204" t="s">
        <v>298</v>
      </c>
      <c r="D14" s="154" t="s">
        <v>351</v>
      </c>
      <c r="E14" s="199">
        <v>2022</v>
      </c>
      <c r="F14" s="257">
        <v>9517.65</v>
      </c>
      <c r="G14" s="1"/>
      <c r="H14" s="1"/>
      <c r="I14" s="8"/>
      <c r="J14" s="8"/>
      <c r="K14" s="8"/>
      <c r="L14" s="43"/>
      <c r="M14" s="251"/>
    </row>
    <row r="15" spans="1:13" s="5" customFormat="1">
      <c r="A15" s="193">
        <f t="shared" si="0"/>
        <v>99</v>
      </c>
      <c r="B15" s="166"/>
      <c r="C15" s="204" t="s">
        <v>300</v>
      </c>
      <c r="D15" s="154" t="s">
        <v>351</v>
      </c>
      <c r="E15" s="199">
        <v>2022</v>
      </c>
      <c r="F15" s="257">
        <v>7198.7</v>
      </c>
      <c r="G15" s="1"/>
      <c r="H15" s="1"/>
      <c r="I15" s="8"/>
      <c r="J15" s="8"/>
      <c r="K15" s="8"/>
      <c r="L15" s="43"/>
      <c r="M15" s="251"/>
    </row>
    <row r="16" spans="1:13" s="5" customFormat="1">
      <c r="A16" s="193">
        <f t="shared" si="0"/>
        <v>100</v>
      </c>
      <c r="B16" s="166"/>
      <c r="C16" s="204" t="s">
        <v>301</v>
      </c>
      <c r="D16" s="154" t="s">
        <v>351</v>
      </c>
      <c r="E16" s="199">
        <v>2022</v>
      </c>
      <c r="F16" s="257">
        <v>244551.98</v>
      </c>
      <c r="G16" s="1"/>
      <c r="H16" s="1"/>
      <c r="I16" s="8"/>
      <c r="J16" s="8"/>
      <c r="K16" s="8"/>
      <c r="L16" s="43"/>
      <c r="M16" s="251"/>
    </row>
    <row r="17" spans="1:13" s="5" customFormat="1">
      <c r="A17" s="193">
        <f t="shared" si="0"/>
        <v>101</v>
      </c>
      <c r="B17" s="166"/>
      <c r="C17" s="204" t="s">
        <v>302</v>
      </c>
      <c r="D17" s="154" t="s">
        <v>351</v>
      </c>
      <c r="E17" s="199">
        <v>2022</v>
      </c>
      <c r="F17" s="257">
        <v>162342.26</v>
      </c>
      <c r="G17" s="1"/>
      <c r="H17" s="1"/>
      <c r="I17" s="8"/>
      <c r="J17" s="8"/>
      <c r="K17" s="8"/>
      <c r="L17" s="43"/>
      <c r="M17" s="251"/>
    </row>
    <row r="18" spans="1:13" s="5" customFormat="1">
      <c r="A18" s="193">
        <f t="shared" si="0"/>
        <v>102</v>
      </c>
      <c r="B18" s="166"/>
      <c r="C18" s="204" t="s">
        <v>303</v>
      </c>
      <c r="D18" s="154" t="s">
        <v>351</v>
      </c>
      <c r="E18" s="199">
        <v>2022</v>
      </c>
      <c r="F18" s="257">
        <v>80132.539999999994</v>
      </c>
      <c r="G18" s="1"/>
      <c r="H18" s="1"/>
      <c r="I18" s="8"/>
      <c r="J18" s="8"/>
      <c r="K18" s="8"/>
      <c r="L18" s="43"/>
      <c r="M18" s="251"/>
    </row>
    <row r="19" spans="1:13" s="5" customFormat="1">
      <c r="A19" s="193">
        <f t="shared" si="0"/>
        <v>103</v>
      </c>
      <c r="B19" s="166"/>
      <c r="C19" s="204" t="s">
        <v>304</v>
      </c>
      <c r="D19" s="154" t="s">
        <v>351</v>
      </c>
      <c r="E19" s="199">
        <v>2022</v>
      </c>
      <c r="F19" s="257">
        <v>122995.16</v>
      </c>
      <c r="G19" s="1"/>
      <c r="H19" s="1"/>
      <c r="I19" s="8"/>
      <c r="J19" s="8"/>
      <c r="K19" s="8"/>
      <c r="L19" s="43"/>
      <c r="M19" s="251"/>
    </row>
    <row r="20" spans="1:13" s="5" customFormat="1">
      <c r="A20" s="193">
        <f t="shared" si="0"/>
        <v>104</v>
      </c>
      <c r="B20" s="166"/>
      <c r="C20" s="204" t="s">
        <v>305</v>
      </c>
      <c r="D20" s="154" t="s">
        <v>351</v>
      </c>
      <c r="E20" s="199">
        <v>2022</v>
      </c>
      <c r="F20" s="257">
        <v>110643.8</v>
      </c>
      <c r="G20" s="1"/>
      <c r="H20" s="1"/>
      <c r="I20" s="8"/>
      <c r="J20" s="8"/>
      <c r="K20" s="8"/>
      <c r="L20" s="43"/>
      <c r="M20" s="251"/>
    </row>
    <row r="21" spans="1:13" s="5" customFormat="1">
      <c r="A21" s="193">
        <f t="shared" si="0"/>
        <v>105</v>
      </c>
      <c r="B21" s="166"/>
      <c r="C21" s="204" t="s">
        <v>306</v>
      </c>
      <c r="D21" s="154" t="s">
        <v>351</v>
      </c>
      <c r="E21" s="199">
        <v>2022</v>
      </c>
      <c r="F21" s="257">
        <v>99564.34</v>
      </c>
      <c r="G21" s="1"/>
      <c r="H21" s="1"/>
      <c r="I21" s="8"/>
      <c r="J21" s="8"/>
      <c r="K21" s="8"/>
      <c r="L21" s="43"/>
      <c r="M21" s="251"/>
    </row>
    <row r="22" spans="1:13" s="5" customFormat="1">
      <c r="A22" s="193">
        <f t="shared" si="0"/>
        <v>106</v>
      </c>
      <c r="B22" s="166"/>
      <c r="C22" s="204" t="s">
        <v>307</v>
      </c>
      <c r="D22" s="154" t="s">
        <v>351</v>
      </c>
      <c r="E22" s="199">
        <v>2022</v>
      </c>
      <c r="F22" s="257">
        <v>87088.55</v>
      </c>
      <c r="G22" s="1"/>
      <c r="H22" s="1"/>
      <c r="I22" s="8"/>
      <c r="J22" s="8"/>
      <c r="K22" s="8"/>
      <c r="L22" s="43"/>
      <c r="M22" s="251"/>
    </row>
    <row r="23" spans="1:13" s="5" customFormat="1">
      <c r="A23" s="193">
        <f t="shared" si="0"/>
        <v>107</v>
      </c>
      <c r="B23" s="166"/>
      <c r="C23" s="204" t="s">
        <v>308</v>
      </c>
      <c r="D23" s="154" t="s">
        <v>351</v>
      </c>
      <c r="E23" s="199">
        <v>2022</v>
      </c>
      <c r="F23" s="257">
        <v>74647.320000000007</v>
      </c>
      <c r="G23" s="1"/>
      <c r="H23" s="1"/>
      <c r="I23" s="8"/>
      <c r="J23" s="8"/>
      <c r="K23" s="8"/>
      <c r="L23" s="43"/>
      <c r="M23" s="251"/>
    </row>
    <row r="24" spans="1:13" s="5" customFormat="1">
      <c r="A24" s="193">
        <f t="shared" si="0"/>
        <v>108</v>
      </c>
      <c r="B24" s="166"/>
      <c r="C24" s="204" t="s">
        <v>309</v>
      </c>
      <c r="D24" s="154" t="s">
        <v>351</v>
      </c>
      <c r="E24" s="199">
        <v>2022</v>
      </c>
      <c r="F24" s="257">
        <v>104257.4</v>
      </c>
      <c r="G24" s="1"/>
      <c r="H24" s="1"/>
      <c r="I24" s="8"/>
      <c r="J24" s="8"/>
      <c r="K24" s="8"/>
      <c r="L24" s="43"/>
      <c r="M24" s="251"/>
    </row>
    <row r="25" spans="1:13" s="5" customFormat="1">
      <c r="A25" s="193">
        <f t="shared" si="0"/>
        <v>109</v>
      </c>
      <c r="B25" s="166"/>
      <c r="C25" s="206" t="s">
        <v>296</v>
      </c>
      <c r="D25" s="207" t="s">
        <v>352</v>
      </c>
      <c r="E25" s="199">
        <v>2022</v>
      </c>
      <c r="F25" s="258">
        <v>102288</v>
      </c>
      <c r="G25" s="1"/>
      <c r="H25" s="1"/>
      <c r="I25" s="8"/>
      <c r="J25" s="8"/>
      <c r="K25" s="8"/>
      <c r="L25" s="43"/>
      <c r="M25" s="251"/>
    </row>
    <row r="26" spans="1:13" s="5" customFormat="1">
      <c r="A26" s="193">
        <f t="shared" si="0"/>
        <v>110</v>
      </c>
      <c r="B26" s="166"/>
      <c r="C26" s="211" t="s">
        <v>353</v>
      </c>
      <c r="D26" s="154" t="str">
        <f>"(sum lines "&amp;A13&amp;"-"&amp;A25&amp;") /13"</f>
        <v>(sum lines 97-109) /13</v>
      </c>
      <c r="E26" s="212"/>
      <c r="F26" s="213">
        <f>SUM(F13:F25)/13</f>
        <v>93620.36153846154</v>
      </c>
      <c r="G26" s="1"/>
      <c r="H26" s="1"/>
      <c r="I26" s="8"/>
      <c r="J26" s="8"/>
      <c r="K26" s="8"/>
      <c r="L26" s="43"/>
      <c r="M26" s="251"/>
    </row>
    <row r="27" spans="1:13" s="5" customFormat="1">
      <c r="A27" s="247"/>
      <c r="B27" s="1"/>
      <c r="C27" s="1"/>
      <c r="D27" s="1"/>
      <c r="E27" s="8"/>
      <c r="F27" s="8"/>
      <c r="G27" s="256"/>
      <c r="H27" s="250"/>
      <c r="I27" s="8"/>
      <c r="J27" s="8"/>
      <c r="K27" s="8"/>
      <c r="L27" s="43"/>
      <c r="M27" s="251"/>
    </row>
    <row r="28" spans="1:13">
      <c r="A28" s="193"/>
      <c r="B28" s="166"/>
      <c r="C28" s="204" t="s">
        <v>354</v>
      </c>
      <c r="D28" s="259"/>
      <c r="E28" s="204"/>
      <c r="G28" s="260"/>
      <c r="H28" s="261"/>
      <c r="I28" s="262"/>
      <c r="J28" s="263"/>
      <c r="K28" s="235"/>
      <c r="L28" s="235"/>
      <c r="M28" s="264"/>
    </row>
    <row r="29" spans="1:13" ht="16.2" thickBot="1">
      <c r="A29" s="193"/>
      <c r="B29" s="166"/>
      <c r="C29" s="204"/>
      <c r="D29" s="259"/>
      <c r="E29" s="204"/>
      <c r="G29" s="260"/>
      <c r="H29" s="261"/>
      <c r="I29" s="262"/>
      <c r="J29" s="263"/>
      <c r="K29" s="235"/>
      <c r="L29" s="235"/>
      <c r="M29" s="264"/>
    </row>
    <row r="30" spans="1:13">
      <c r="A30" s="237">
        <f>+A26+1</f>
        <v>111</v>
      </c>
      <c r="B30" s="238"/>
      <c r="C30" s="265" t="s">
        <v>355</v>
      </c>
      <c r="D30" s="266" t="s">
        <v>59</v>
      </c>
      <c r="E30" s="238" t="s">
        <v>294</v>
      </c>
      <c r="F30" s="267" t="s">
        <v>356</v>
      </c>
      <c r="G30" s="268" t="s">
        <v>357</v>
      </c>
      <c r="H30" s="269" t="s">
        <v>48</v>
      </c>
      <c r="I30" s="270"/>
      <c r="J30" s="244"/>
      <c r="K30" s="245"/>
      <c r="L30" s="245"/>
      <c r="M30" s="246"/>
    </row>
    <row r="31" spans="1:13">
      <c r="A31" s="193">
        <f>+A30+1</f>
        <v>112</v>
      </c>
      <c r="B31" s="166"/>
      <c r="C31" s="154" t="s">
        <v>296</v>
      </c>
      <c r="D31" s="198" t="s">
        <v>358</v>
      </c>
      <c r="E31" s="271">
        <v>2021</v>
      </c>
      <c r="F31" s="272">
        <v>0</v>
      </c>
      <c r="G31" s="273">
        <v>0</v>
      </c>
      <c r="H31" s="272">
        <v>0</v>
      </c>
      <c r="I31" s="261"/>
      <c r="J31" s="263"/>
      <c r="K31" s="235"/>
      <c r="L31" s="235"/>
      <c r="M31" s="264"/>
    </row>
    <row r="32" spans="1:13">
      <c r="A32" s="193">
        <f t="shared" ref="A32:A44" si="1">+A31+1</f>
        <v>113</v>
      </c>
      <c r="B32" s="166"/>
      <c r="C32" s="204" t="s">
        <v>298</v>
      </c>
      <c r="D32" s="154" t="s">
        <v>359</v>
      </c>
      <c r="E32" s="271">
        <v>2022</v>
      </c>
      <c r="F32" s="272">
        <v>0</v>
      </c>
      <c r="G32" s="273">
        <v>0</v>
      </c>
      <c r="H32" s="272">
        <v>0</v>
      </c>
      <c r="I32" s="261"/>
      <c r="J32" s="263"/>
      <c r="K32" s="235"/>
      <c r="L32" s="235"/>
      <c r="M32" s="264"/>
    </row>
    <row r="33" spans="1:13">
      <c r="A33" s="193">
        <f t="shared" si="1"/>
        <v>114</v>
      </c>
      <c r="B33" s="166"/>
      <c r="C33" s="204" t="s">
        <v>300</v>
      </c>
      <c r="D33" s="154" t="s">
        <v>359</v>
      </c>
      <c r="E33" s="271">
        <v>2022</v>
      </c>
      <c r="F33" s="272">
        <v>0</v>
      </c>
      <c r="G33" s="273">
        <v>0</v>
      </c>
      <c r="H33" s="272">
        <v>0</v>
      </c>
      <c r="I33" s="261"/>
      <c r="J33" s="263"/>
      <c r="K33" s="235"/>
      <c r="L33" s="235"/>
      <c r="M33" s="264"/>
    </row>
    <row r="34" spans="1:13">
      <c r="A34" s="193">
        <f t="shared" si="1"/>
        <v>115</v>
      </c>
      <c r="B34" s="166"/>
      <c r="C34" s="204" t="s">
        <v>301</v>
      </c>
      <c r="D34" s="154" t="s">
        <v>359</v>
      </c>
      <c r="E34" s="271">
        <v>2022</v>
      </c>
      <c r="F34" s="272">
        <v>0</v>
      </c>
      <c r="G34" s="273">
        <v>0</v>
      </c>
      <c r="H34" s="272">
        <v>0</v>
      </c>
      <c r="I34" s="261"/>
      <c r="J34" s="263"/>
      <c r="K34" s="235"/>
      <c r="L34" s="235"/>
      <c r="M34" s="264"/>
    </row>
    <row r="35" spans="1:13">
      <c r="A35" s="193">
        <f t="shared" si="1"/>
        <v>116</v>
      </c>
      <c r="B35" s="166"/>
      <c r="C35" s="204" t="s">
        <v>302</v>
      </c>
      <c r="D35" s="154" t="s">
        <v>359</v>
      </c>
      <c r="E35" s="271">
        <v>2022</v>
      </c>
      <c r="F35" s="272">
        <v>0</v>
      </c>
      <c r="G35" s="273">
        <v>0</v>
      </c>
      <c r="H35" s="272">
        <v>0</v>
      </c>
      <c r="I35" s="261"/>
      <c r="J35" s="274"/>
      <c r="K35" s="274"/>
      <c r="L35" s="274"/>
      <c r="M35" s="274"/>
    </row>
    <row r="36" spans="1:13">
      <c r="A36" s="193">
        <f t="shared" si="1"/>
        <v>117</v>
      </c>
      <c r="B36" s="166"/>
      <c r="C36" s="204" t="s">
        <v>303</v>
      </c>
      <c r="D36" s="154" t="s">
        <v>359</v>
      </c>
      <c r="E36" s="271">
        <v>2022</v>
      </c>
      <c r="F36" s="272">
        <v>0</v>
      </c>
      <c r="G36" s="273">
        <v>0</v>
      </c>
      <c r="H36" s="272">
        <v>0</v>
      </c>
      <c r="I36" s="261"/>
      <c r="J36" s="263"/>
      <c r="K36" s="235"/>
      <c r="L36" s="235"/>
      <c r="M36" s="264"/>
    </row>
    <row r="37" spans="1:13">
      <c r="A37" s="193">
        <f t="shared" si="1"/>
        <v>118</v>
      </c>
      <c r="B37" s="166"/>
      <c r="C37" s="204" t="s">
        <v>304</v>
      </c>
      <c r="D37" s="154" t="s">
        <v>359</v>
      </c>
      <c r="E37" s="271">
        <v>2022</v>
      </c>
      <c r="F37" s="272">
        <v>0</v>
      </c>
      <c r="G37" s="273">
        <v>0</v>
      </c>
      <c r="H37" s="272">
        <v>0</v>
      </c>
      <c r="I37" s="261"/>
      <c r="J37" s="263"/>
      <c r="K37" s="235"/>
      <c r="L37" s="235"/>
      <c r="M37" s="264"/>
    </row>
    <row r="38" spans="1:13">
      <c r="A38" s="193">
        <f t="shared" si="1"/>
        <v>119</v>
      </c>
      <c r="B38" s="166"/>
      <c r="C38" s="204" t="s">
        <v>305</v>
      </c>
      <c r="D38" s="154" t="s">
        <v>359</v>
      </c>
      <c r="E38" s="271">
        <v>2022</v>
      </c>
      <c r="F38" s="272">
        <v>0</v>
      </c>
      <c r="G38" s="273">
        <v>0</v>
      </c>
      <c r="H38" s="272">
        <v>0</v>
      </c>
      <c r="I38" s="261"/>
      <c r="J38" s="263"/>
      <c r="K38" s="235"/>
      <c r="L38" s="235"/>
      <c r="M38" s="264"/>
    </row>
    <row r="39" spans="1:13">
      <c r="A39" s="193">
        <f t="shared" si="1"/>
        <v>120</v>
      </c>
      <c r="B39" s="166"/>
      <c r="C39" s="204" t="s">
        <v>306</v>
      </c>
      <c r="D39" s="154" t="s">
        <v>359</v>
      </c>
      <c r="E39" s="271">
        <v>2022</v>
      </c>
      <c r="F39" s="272">
        <v>0</v>
      </c>
      <c r="G39" s="273">
        <v>0</v>
      </c>
      <c r="H39" s="272">
        <v>0</v>
      </c>
      <c r="I39" s="261"/>
      <c r="J39" s="263"/>
      <c r="K39" s="235"/>
      <c r="L39" s="235"/>
      <c r="M39" s="264"/>
    </row>
    <row r="40" spans="1:13">
      <c r="A40" s="193">
        <f t="shared" si="1"/>
        <v>121</v>
      </c>
      <c r="B40" s="166"/>
      <c r="C40" s="204" t="s">
        <v>307</v>
      </c>
      <c r="D40" s="154" t="s">
        <v>359</v>
      </c>
      <c r="E40" s="271">
        <v>2022</v>
      </c>
      <c r="F40" s="275"/>
      <c r="G40" s="276">
        <v>0</v>
      </c>
      <c r="H40" s="272">
        <v>0</v>
      </c>
      <c r="I40" s="261"/>
      <c r="J40" s="263"/>
      <c r="K40" s="235"/>
      <c r="L40" s="235"/>
      <c r="M40" s="264"/>
    </row>
    <row r="41" spans="1:13">
      <c r="A41" s="193">
        <f t="shared" si="1"/>
        <v>122</v>
      </c>
      <c r="B41" s="166"/>
      <c r="C41" s="204" t="s">
        <v>308</v>
      </c>
      <c r="D41" s="154" t="s">
        <v>359</v>
      </c>
      <c r="E41" s="271">
        <v>2022</v>
      </c>
      <c r="F41" s="275">
        <v>0</v>
      </c>
      <c r="G41" s="276">
        <v>0</v>
      </c>
      <c r="H41" s="272">
        <v>0</v>
      </c>
      <c r="I41" s="261"/>
      <c r="J41" s="263"/>
      <c r="K41" s="235"/>
      <c r="L41" s="235"/>
      <c r="M41" s="264"/>
    </row>
    <row r="42" spans="1:13">
      <c r="A42" s="193">
        <f t="shared" si="1"/>
        <v>123</v>
      </c>
      <c r="B42" s="166"/>
      <c r="C42" s="204" t="s">
        <v>309</v>
      </c>
      <c r="D42" s="154" t="s">
        <v>359</v>
      </c>
      <c r="E42" s="271">
        <v>2022</v>
      </c>
      <c r="F42" s="275">
        <v>0</v>
      </c>
      <c r="G42" s="276">
        <v>0</v>
      </c>
      <c r="H42" s="272">
        <v>0</v>
      </c>
      <c r="I42" s="261"/>
      <c r="J42" s="263"/>
      <c r="K42" s="235"/>
      <c r="L42" s="235"/>
      <c r="M42" s="264"/>
    </row>
    <row r="43" spans="1:13">
      <c r="A43" s="193">
        <f t="shared" si="1"/>
        <v>124</v>
      </c>
      <c r="B43" s="166"/>
      <c r="C43" s="206" t="s">
        <v>296</v>
      </c>
      <c r="D43" s="207" t="s">
        <v>360</v>
      </c>
      <c r="E43" s="277">
        <v>2022</v>
      </c>
      <c r="F43" s="278">
        <v>0</v>
      </c>
      <c r="G43" s="279">
        <v>0</v>
      </c>
      <c r="H43" s="280">
        <v>0</v>
      </c>
      <c r="I43" s="261"/>
      <c r="J43" s="263"/>
      <c r="K43" s="235"/>
      <c r="L43" s="235"/>
      <c r="M43" s="264"/>
    </row>
    <row r="44" spans="1:13">
      <c r="A44" s="193">
        <f t="shared" si="1"/>
        <v>125</v>
      </c>
      <c r="B44" s="166"/>
      <c r="C44" s="211" t="s">
        <v>361</v>
      </c>
      <c r="D44" s="154" t="str">
        <f>"(sum lines "&amp;A31&amp;"-"&amp;A43&amp;") /13"</f>
        <v>(sum lines 112-124) /13</v>
      </c>
      <c r="E44" s="212"/>
      <c r="F44" s="234">
        <f>SUM(F31:F43)/13</f>
        <v>0</v>
      </c>
      <c r="G44" s="281">
        <f>SUM(G31:G43)/13</f>
        <v>0</v>
      </c>
      <c r="H44" s="234">
        <f>SUM(H31:H43)/13</f>
        <v>0</v>
      </c>
      <c r="I44" s="261"/>
      <c r="J44" s="263"/>
      <c r="K44" s="235"/>
      <c r="L44" s="235"/>
      <c r="M44" s="264"/>
    </row>
    <row r="45" spans="1:13">
      <c r="A45" s="193"/>
      <c r="B45" s="166"/>
      <c r="C45" s="211"/>
      <c r="E45" s="212"/>
      <c r="F45" s="234"/>
      <c r="G45" s="281"/>
      <c r="H45" s="234"/>
      <c r="I45" s="261"/>
      <c r="J45" s="263"/>
      <c r="K45" s="235"/>
      <c r="L45" s="235"/>
      <c r="M45" s="264"/>
    </row>
    <row r="46" spans="1:13" ht="16.2" thickBot="1">
      <c r="A46" s="224"/>
      <c r="B46" s="225"/>
      <c r="C46" s="282" t="s">
        <v>362</v>
      </c>
      <c r="D46" s="283"/>
      <c r="E46" s="226"/>
      <c r="F46" s="227"/>
      <c r="G46" s="284"/>
      <c r="H46" s="285"/>
      <c r="I46" s="286"/>
      <c r="J46" s="287"/>
      <c r="K46" s="288"/>
      <c r="L46" s="288"/>
      <c r="M46" s="289"/>
    </row>
    <row r="47" spans="1:13">
      <c r="A47" s="193"/>
      <c r="B47" s="166"/>
      <c r="C47" s="211"/>
      <c r="D47" s="259"/>
      <c r="E47" s="204"/>
      <c r="F47" s="218"/>
      <c r="G47" s="290"/>
      <c r="H47" s="261"/>
      <c r="I47" s="262"/>
      <c r="J47" s="263"/>
      <c r="K47" s="235"/>
      <c r="L47" s="235"/>
      <c r="M47" s="264"/>
    </row>
    <row r="48" spans="1:13" ht="16.2" thickBot="1">
      <c r="A48" s="224"/>
      <c r="B48" s="227"/>
      <c r="C48" s="227"/>
      <c r="D48" s="227"/>
      <c r="E48" s="227"/>
      <c r="F48" s="291"/>
      <c r="G48" s="292"/>
      <c r="H48" s="285"/>
      <c r="I48" s="286"/>
      <c r="J48" s="894"/>
      <c r="K48" s="894"/>
      <c r="L48" s="894"/>
      <c r="M48" s="895"/>
    </row>
    <row r="49" spans="1:13" ht="16.2" thickBot="1">
      <c r="A49" s="191" t="str">
        <f>+C51</f>
        <v>LAND HELD FOR FUTURE USE</v>
      </c>
    </row>
    <row r="50" spans="1:13" ht="50.25" customHeight="1">
      <c r="A50" s="881" t="s">
        <v>292</v>
      </c>
      <c r="B50" s="882"/>
      <c r="C50" s="882"/>
      <c r="D50" s="882"/>
      <c r="E50" s="882"/>
      <c r="F50" s="882"/>
      <c r="G50" s="293" t="s">
        <v>363</v>
      </c>
      <c r="H50" s="294"/>
      <c r="I50" s="294"/>
      <c r="J50" s="883"/>
      <c r="K50" s="889"/>
      <c r="L50" s="889"/>
      <c r="M50" s="890"/>
    </row>
    <row r="51" spans="1:13">
      <c r="A51" s="193">
        <f>+A44+1</f>
        <v>126</v>
      </c>
      <c r="B51" s="166"/>
      <c r="C51" s="211" t="str">
        <f>+'Appendix III'!C89</f>
        <v>LAND HELD FOR FUTURE USE</v>
      </c>
      <c r="D51" s="259"/>
      <c r="E51" s="204" t="s">
        <v>364</v>
      </c>
      <c r="G51" s="295">
        <f>+'10 - Future Use'!E18</f>
        <v>2036816</v>
      </c>
      <c r="H51" s="234"/>
      <c r="I51" s="262"/>
      <c r="J51" s="263"/>
      <c r="K51" s="235"/>
      <c r="L51" s="235"/>
      <c r="M51" s="264"/>
    </row>
    <row r="52" spans="1:13">
      <c r="A52" s="193"/>
      <c r="B52" s="296"/>
      <c r="C52" s="296"/>
      <c r="D52" s="296"/>
      <c r="G52" s="297"/>
      <c r="H52" s="234"/>
      <c r="I52" s="262"/>
      <c r="J52" s="263"/>
      <c r="K52" s="235"/>
      <c r="L52" s="235"/>
      <c r="M52" s="264"/>
    </row>
    <row r="53" spans="1:13" ht="16.2" thickBot="1">
      <c r="A53" s="224" t="s">
        <v>365</v>
      </c>
      <c r="B53" s="227"/>
      <c r="C53" s="282" t="s">
        <v>366</v>
      </c>
      <c r="D53" s="227"/>
      <c r="E53" s="227"/>
      <c r="F53" s="298"/>
      <c r="G53" s="914" t="s">
        <v>367</v>
      </c>
      <c r="H53" s="915"/>
      <c r="I53" s="915"/>
      <c r="J53" s="915"/>
      <c r="K53" s="915"/>
      <c r="L53" s="915"/>
      <c r="M53" s="916"/>
    </row>
    <row r="54" spans="1:13">
      <c r="B54" s="166"/>
      <c r="C54" s="211"/>
      <c r="D54" s="259"/>
      <c r="E54" s="221"/>
      <c r="F54" s="204"/>
      <c r="G54" s="299"/>
      <c r="H54" s="299"/>
      <c r="I54" s="299"/>
      <c r="J54" s="235"/>
      <c r="K54" s="235"/>
      <c r="L54" s="235"/>
      <c r="M54" s="235"/>
    </row>
    <row r="55" spans="1:13" ht="12" customHeight="1"/>
    <row r="56" spans="1:13" ht="16.2" thickBot="1">
      <c r="A56" s="191" t="s">
        <v>368</v>
      </c>
    </row>
    <row r="57" spans="1:13">
      <c r="A57" s="881"/>
      <c r="B57" s="882"/>
      <c r="C57" s="882"/>
      <c r="D57" s="882"/>
      <c r="E57" s="882"/>
      <c r="F57" s="882"/>
      <c r="G57" s="294"/>
      <c r="H57" s="294"/>
      <c r="I57" s="294"/>
      <c r="J57" s="883"/>
      <c r="K57" s="903"/>
      <c r="L57" s="903"/>
      <c r="M57" s="904"/>
    </row>
    <row r="58" spans="1:13">
      <c r="A58" s="193">
        <f>+A51+1</f>
        <v>127</v>
      </c>
      <c r="B58" s="156"/>
      <c r="D58" s="300"/>
      <c r="F58" s="301"/>
      <c r="G58" s="235"/>
      <c r="J58" s="886"/>
      <c r="K58" s="887"/>
      <c r="L58" s="887"/>
      <c r="M58" s="888"/>
    </row>
    <row r="59" spans="1:13">
      <c r="A59" s="193"/>
      <c r="B59" s="302"/>
      <c r="C59" s="303" t="s">
        <v>369</v>
      </c>
      <c r="D59" s="304"/>
      <c r="E59" s="304"/>
      <c r="F59" s="304"/>
      <c r="G59" s="304"/>
      <c r="H59" s="304"/>
      <c r="I59" s="305"/>
      <c r="J59" s="305"/>
      <c r="K59" s="20"/>
      <c r="L59" s="20"/>
      <c r="M59" s="306"/>
    </row>
    <row r="60" spans="1:13">
      <c r="A60" s="193"/>
      <c r="B60" s="302"/>
      <c r="C60" s="307" t="s">
        <v>174</v>
      </c>
      <c r="D60" s="307" t="s">
        <v>370</v>
      </c>
      <c r="E60" s="307"/>
      <c r="F60" s="307"/>
      <c r="G60" s="307"/>
      <c r="H60" s="307"/>
      <c r="I60" s="307"/>
      <c r="J60" s="307"/>
      <c r="K60" s="20"/>
      <c r="L60" s="20"/>
      <c r="M60" s="306"/>
    </row>
    <row r="61" spans="1:13">
      <c r="A61" s="193"/>
      <c r="B61" s="302"/>
      <c r="C61" s="308" t="s">
        <v>371</v>
      </c>
      <c r="D61" s="309" t="s">
        <v>372</v>
      </c>
      <c r="E61" s="310"/>
      <c r="F61" s="310"/>
      <c r="G61" s="310"/>
      <c r="H61" s="310"/>
      <c r="I61" s="309"/>
      <c r="K61" s="20"/>
      <c r="L61" s="20"/>
      <c r="M61" s="306"/>
    </row>
    <row r="62" spans="1:13">
      <c r="A62" s="193"/>
      <c r="B62" s="302"/>
      <c r="C62" s="311" t="s">
        <v>373</v>
      </c>
      <c r="D62" s="312">
        <f>+'7 - Unfunded Reserves'!W8</f>
        <v>0</v>
      </c>
      <c r="E62" s="313"/>
      <c r="F62" s="313"/>
      <c r="G62" s="314"/>
      <c r="H62" s="314"/>
      <c r="I62" s="313"/>
      <c r="K62" s="20"/>
      <c r="L62" s="20"/>
      <c r="M62" s="306"/>
    </row>
    <row r="63" spans="1:13">
      <c r="A63" s="193"/>
      <c r="B63" s="302"/>
      <c r="C63" s="311" t="s">
        <v>374</v>
      </c>
      <c r="D63" s="312">
        <f>+'7 - Unfunded Reserves'!W9</f>
        <v>0</v>
      </c>
      <c r="E63" s="315"/>
      <c r="F63" s="313"/>
      <c r="G63" s="314"/>
      <c r="H63" s="314"/>
      <c r="I63" s="313"/>
      <c r="K63" s="20"/>
      <c r="L63" s="20"/>
      <c r="M63" s="306"/>
    </row>
    <row r="64" spans="1:13">
      <c r="A64" s="193"/>
      <c r="B64" s="302"/>
      <c r="C64" s="311" t="s">
        <v>375</v>
      </c>
      <c r="D64" s="312">
        <f>+'7 - Unfunded Reserves'!W10</f>
        <v>0</v>
      </c>
      <c r="E64" s="315"/>
      <c r="F64" s="313"/>
      <c r="G64" s="314"/>
      <c r="H64" s="314"/>
      <c r="I64" s="313"/>
      <c r="K64" s="20"/>
      <c r="L64" s="20"/>
      <c r="M64" s="306"/>
    </row>
    <row r="65" spans="1:13">
      <c r="A65" s="193"/>
      <c r="B65" s="302"/>
      <c r="C65" s="311" t="s">
        <v>376</v>
      </c>
      <c r="D65" s="312">
        <f>+'7 - Unfunded Reserves'!W11</f>
        <v>0</v>
      </c>
      <c r="E65" s="315"/>
      <c r="F65" s="313"/>
      <c r="G65" s="314"/>
      <c r="H65" s="314"/>
      <c r="I65" s="313"/>
      <c r="K65" s="20"/>
      <c r="L65" s="20"/>
      <c r="M65" s="306"/>
    </row>
    <row r="66" spans="1:13">
      <c r="A66" s="193"/>
      <c r="B66" s="302"/>
      <c r="C66" s="311" t="s">
        <v>259</v>
      </c>
      <c r="D66" s="312">
        <f>+'7 - Unfunded Reserves'!W12</f>
        <v>0</v>
      </c>
      <c r="E66" s="315"/>
      <c r="F66" s="313"/>
      <c r="G66" s="314"/>
      <c r="H66" s="314"/>
      <c r="I66" s="313"/>
      <c r="K66" s="20"/>
      <c r="L66" s="20"/>
      <c r="M66" s="306"/>
    </row>
    <row r="67" spans="1:13">
      <c r="A67" s="193"/>
      <c r="B67" s="302"/>
      <c r="C67" s="316" t="s">
        <v>259</v>
      </c>
      <c r="D67" s="317">
        <f>+'7 - Unfunded Reserves'!W13</f>
        <v>0</v>
      </c>
      <c r="E67" s="315"/>
      <c r="F67" s="313"/>
      <c r="G67" s="314"/>
      <c r="H67" s="314"/>
      <c r="I67" s="313"/>
      <c r="K67" s="20"/>
      <c r="L67" s="20"/>
      <c r="M67" s="306"/>
    </row>
    <row r="68" spans="1:13">
      <c r="A68" s="193" t="s">
        <v>377</v>
      </c>
      <c r="B68" s="302"/>
      <c r="C68" s="318" t="s">
        <v>378</v>
      </c>
      <c r="D68" s="312">
        <f>SUM(D62:D67)</f>
        <v>0</v>
      </c>
      <c r="E68" s="315">
        <f>SUM(E62:E67)</f>
        <v>0</v>
      </c>
      <c r="F68" s="313"/>
      <c r="G68" s="314"/>
      <c r="H68" s="314"/>
      <c r="I68" s="313"/>
      <c r="K68" s="20"/>
      <c r="L68" s="20"/>
      <c r="M68" s="306"/>
    </row>
    <row r="69" spans="1:13">
      <c r="A69" s="193"/>
      <c r="B69" s="319"/>
      <c r="C69" s="320"/>
      <c r="D69" s="321"/>
      <c r="E69" s="321"/>
      <c r="F69" s="321"/>
      <c r="G69" s="321"/>
      <c r="H69" s="321"/>
      <c r="I69" s="305"/>
      <c r="J69" s="305"/>
      <c r="K69" s="20"/>
      <c r="L69" s="20"/>
      <c r="M69" s="306"/>
    </row>
    <row r="70" spans="1:13">
      <c r="A70" s="193"/>
      <c r="B70" s="20"/>
      <c r="C70" s="60"/>
      <c r="E70" s="322"/>
      <c r="F70" s="322"/>
      <c r="G70" s="322"/>
      <c r="H70" s="323"/>
      <c r="I70" s="20"/>
      <c r="J70" s="20"/>
      <c r="K70" s="20"/>
      <c r="L70" s="20"/>
      <c r="M70" s="306"/>
    </row>
    <row r="71" spans="1:13" ht="16.2" thickBot="1">
      <c r="B71" s="20"/>
      <c r="C71" s="204"/>
      <c r="D71" s="20"/>
      <c r="F71" s="204"/>
      <c r="G71" s="324"/>
      <c r="H71" s="324"/>
      <c r="I71" s="20"/>
      <c r="J71" s="20"/>
      <c r="K71" s="20"/>
      <c r="L71" s="20"/>
      <c r="M71" s="20"/>
    </row>
    <row r="72" spans="1:13">
      <c r="A72" s="325" t="s">
        <v>379</v>
      </c>
      <c r="B72" s="266"/>
      <c r="C72" s="266"/>
      <c r="D72" s="266"/>
      <c r="E72" s="266"/>
      <c r="F72" s="266"/>
      <c r="G72" s="266"/>
      <c r="H72" s="266"/>
      <c r="I72" s="266"/>
      <c r="J72" s="266"/>
      <c r="K72" s="266"/>
      <c r="L72" s="266"/>
      <c r="M72" s="326"/>
    </row>
    <row r="73" spans="1:13">
      <c r="A73" s="905" t="s">
        <v>292</v>
      </c>
      <c r="B73" s="906"/>
      <c r="C73" s="906"/>
      <c r="D73" s="906"/>
      <c r="E73" s="906"/>
      <c r="F73" s="906"/>
      <c r="G73" s="327"/>
      <c r="H73" s="327"/>
      <c r="I73" s="327"/>
      <c r="J73" s="907" t="s">
        <v>339</v>
      </c>
      <c r="K73" s="887"/>
      <c r="L73" s="887"/>
      <c r="M73" s="888"/>
    </row>
    <row r="74" spans="1:13">
      <c r="A74" s="193"/>
      <c r="B74" s="156" t="s">
        <v>380</v>
      </c>
      <c r="E74" s="299"/>
      <c r="J74" s="886"/>
      <c r="K74" s="887"/>
      <c r="L74" s="887"/>
      <c r="M74" s="888"/>
    </row>
    <row r="75" spans="1:13">
      <c r="A75" s="193"/>
      <c r="B75" s="20"/>
      <c r="C75" s="20"/>
      <c r="D75" s="154" t="s">
        <v>3</v>
      </c>
      <c r="E75" s="299" t="s">
        <v>381</v>
      </c>
      <c r="F75" s="166"/>
      <c r="G75" s="166" t="s">
        <v>382</v>
      </c>
      <c r="H75" s="235"/>
      <c r="I75" s="20"/>
      <c r="J75" s="20"/>
      <c r="K75" s="20"/>
      <c r="L75" s="20"/>
      <c r="M75" s="306"/>
    </row>
    <row r="76" spans="1:13">
      <c r="A76" s="193">
        <f>+A58+1</f>
        <v>128</v>
      </c>
      <c r="B76" s="20"/>
      <c r="C76" s="204" t="s">
        <v>383</v>
      </c>
      <c r="D76" s="20"/>
      <c r="E76" s="204" t="s">
        <v>384</v>
      </c>
      <c r="F76" s="204"/>
      <c r="G76" s="328"/>
      <c r="H76" s="324"/>
      <c r="I76" s="20"/>
      <c r="J76" s="20"/>
      <c r="K76" s="20"/>
      <c r="L76" s="20"/>
      <c r="M76" s="306"/>
    </row>
    <row r="77" spans="1:13">
      <c r="A77" s="193"/>
      <c r="B77" s="20"/>
      <c r="C77" s="204"/>
      <c r="D77" s="20"/>
      <c r="E77" s="204"/>
      <c r="F77" s="204"/>
      <c r="G77" s="324"/>
      <c r="H77" s="324"/>
      <c r="I77" s="20"/>
      <c r="J77" s="20"/>
      <c r="K77" s="20"/>
      <c r="L77" s="20"/>
      <c r="M77" s="306"/>
    </row>
    <row r="78" spans="1:13">
      <c r="A78" s="193" t="s">
        <v>385</v>
      </c>
      <c r="B78" s="20"/>
      <c r="C78" s="20" t="s">
        <v>386</v>
      </c>
      <c r="G78" s="187"/>
      <c r="I78" s="20"/>
      <c r="J78" s="20"/>
      <c r="K78" s="20"/>
      <c r="L78" s="20"/>
      <c r="M78" s="306"/>
    </row>
    <row r="79" spans="1:13">
      <c r="A79" s="193"/>
      <c r="B79" s="20"/>
      <c r="C79" s="329"/>
      <c r="G79" s="187"/>
      <c r="I79" s="20"/>
      <c r="J79" s="20"/>
      <c r="K79" s="20"/>
      <c r="L79" s="20"/>
      <c r="M79" s="306"/>
    </row>
    <row r="80" spans="1:13">
      <c r="A80" s="193"/>
      <c r="B80" s="20"/>
      <c r="C80" s="329"/>
      <c r="G80" s="187"/>
      <c r="I80" s="20"/>
      <c r="J80" s="20"/>
      <c r="K80" s="20"/>
      <c r="L80" s="20"/>
      <c r="M80" s="306"/>
    </row>
    <row r="81" spans="1:13">
      <c r="A81" s="193"/>
      <c r="B81" s="20"/>
      <c r="C81" s="329"/>
      <c r="G81" s="187"/>
      <c r="I81" s="20"/>
      <c r="J81" s="20"/>
      <c r="K81" s="20"/>
      <c r="L81" s="20"/>
      <c r="M81" s="306"/>
    </row>
    <row r="82" spans="1:13">
      <c r="A82" s="193"/>
      <c r="B82" s="20"/>
      <c r="C82" s="329"/>
      <c r="G82" s="187"/>
      <c r="I82" s="20"/>
      <c r="J82" s="20"/>
      <c r="K82" s="20"/>
      <c r="L82" s="20"/>
      <c r="M82" s="306"/>
    </row>
    <row r="83" spans="1:13" ht="16.2" thickBot="1">
      <c r="A83" s="224"/>
      <c r="B83" s="227"/>
      <c r="C83" s="227"/>
      <c r="D83" s="227"/>
      <c r="E83" s="227"/>
      <c r="F83" s="227"/>
      <c r="G83" s="227"/>
      <c r="H83" s="227"/>
      <c r="I83" s="227"/>
      <c r="J83" s="227"/>
      <c r="K83" s="227"/>
      <c r="L83" s="227"/>
      <c r="M83" s="330"/>
    </row>
    <row r="85" spans="1:13" s="333" customFormat="1" ht="16.2" thickBot="1">
      <c r="A85" s="331" t="s">
        <v>387</v>
      </c>
      <c r="B85" s="332"/>
      <c r="C85" s="332"/>
      <c r="D85" s="332"/>
      <c r="E85" s="332"/>
      <c r="F85" s="332"/>
      <c r="G85" s="332"/>
      <c r="H85" s="332"/>
      <c r="I85" s="332"/>
      <c r="J85" s="332"/>
      <c r="K85" s="332"/>
      <c r="L85" s="332"/>
      <c r="M85" s="332"/>
    </row>
    <row r="86" spans="1:13" s="333" customFormat="1" ht="46.8">
      <c r="A86" s="891" t="s">
        <v>292</v>
      </c>
      <c r="B86" s="892"/>
      <c r="C86" s="892"/>
      <c r="D86" s="892"/>
      <c r="E86" s="892"/>
      <c r="F86" s="892"/>
      <c r="G86" s="334" t="s">
        <v>388</v>
      </c>
      <c r="H86" s="244" t="s">
        <v>389</v>
      </c>
      <c r="I86" s="244" t="s">
        <v>390</v>
      </c>
      <c r="J86" s="893" t="s">
        <v>391</v>
      </c>
      <c r="K86" s="889"/>
      <c r="L86" s="889"/>
      <c r="M86" s="890"/>
    </row>
    <row r="87" spans="1:13" s="333" customFormat="1">
      <c r="A87" s="193"/>
      <c r="B87" s="156" t="s">
        <v>392</v>
      </c>
      <c r="C87" s="204"/>
      <c r="D87" s="154"/>
      <c r="E87" s="212"/>
      <c r="F87" s="204"/>
      <c r="G87" s="335" t="s">
        <v>186</v>
      </c>
      <c r="H87" s="336" t="s">
        <v>188</v>
      </c>
      <c r="I87" s="337" t="s">
        <v>190</v>
      </c>
      <c r="J87" s="154"/>
      <c r="K87" s="154"/>
      <c r="L87" s="154"/>
      <c r="M87" s="218"/>
    </row>
    <row r="88" spans="1:13" s="333" customFormat="1">
      <c r="A88" s="193"/>
      <c r="B88" s="156"/>
      <c r="C88" s="204"/>
      <c r="D88" s="154"/>
      <c r="E88" s="212"/>
      <c r="F88" s="204"/>
      <c r="G88" s="335"/>
      <c r="H88" s="336"/>
      <c r="I88" s="337" t="s">
        <v>393</v>
      </c>
      <c r="J88" s="338"/>
      <c r="K88" s="154"/>
      <c r="L88" s="154"/>
      <c r="M88" s="218"/>
    </row>
    <row r="89" spans="1:13" s="333" customFormat="1">
      <c r="A89" s="193">
        <f>+A76+1</f>
        <v>129</v>
      </c>
      <c r="B89" s="255"/>
      <c r="C89" s="204" t="s">
        <v>394</v>
      </c>
      <c r="D89" s="221"/>
      <c r="E89" s="221"/>
      <c r="F89" s="204" t="s">
        <v>395</v>
      </c>
      <c r="G89" s="339">
        <v>0</v>
      </c>
      <c r="H89" s="340"/>
      <c r="I89" s="261">
        <f>+G89-H89</f>
        <v>0</v>
      </c>
      <c r="J89" s="154"/>
      <c r="K89" s="154"/>
      <c r="L89" s="154"/>
      <c r="M89" s="218"/>
    </row>
    <row r="90" spans="1:13" s="333" customFormat="1">
      <c r="A90" s="193"/>
      <c r="B90" s="156"/>
      <c r="C90" s="204"/>
      <c r="D90" s="154"/>
      <c r="E90" s="212"/>
      <c r="F90" s="204"/>
      <c r="G90" s="341" t="s">
        <v>396</v>
      </c>
      <c r="H90" s="336"/>
      <c r="I90" s="337"/>
      <c r="J90" s="154"/>
      <c r="K90" s="154"/>
      <c r="L90" s="154"/>
      <c r="M90" s="218"/>
    </row>
    <row r="91" spans="1:13" s="333" customFormat="1">
      <c r="A91" s="193"/>
      <c r="B91" s="156"/>
      <c r="C91" s="204"/>
      <c r="D91" s="154"/>
      <c r="E91" s="212"/>
      <c r="F91" s="204"/>
      <c r="G91" s="341" t="s">
        <v>397</v>
      </c>
      <c r="H91" s="336"/>
      <c r="I91" s="337"/>
      <c r="J91" s="154"/>
      <c r="K91" s="154"/>
      <c r="L91" s="154"/>
      <c r="M91" s="218"/>
    </row>
    <row r="92" spans="1:13" s="333" customFormat="1">
      <c r="A92" s="193"/>
      <c r="B92" s="156"/>
      <c r="C92" s="204"/>
      <c r="D92" s="154"/>
      <c r="E92" s="212"/>
      <c r="F92" s="204"/>
      <c r="G92" s="341"/>
      <c r="H92" s="336"/>
      <c r="I92" s="337"/>
      <c r="J92" s="154"/>
      <c r="K92" s="154"/>
      <c r="L92" s="154"/>
      <c r="M92" s="218"/>
    </row>
    <row r="93" spans="1:13" s="333" customFormat="1" ht="16.2" thickBot="1">
      <c r="A93" s="342"/>
      <c r="B93" s="227"/>
      <c r="C93" s="227"/>
      <c r="D93" s="227"/>
      <c r="E93" s="227"/>
      <c r="F93" s="227"/>
      <c r="G93" s="342" t="s">
        <v>398</v>
      </c>
      <c r="H93" s="227"/>
      <c r="I93" s="227"/>
      <c r="J93" s="894"/>
      <c r="K93" s="894"/>
      <c r="L93" s="894"/>
      <c r="M93" s="895"/>
    </row>
    <row r="96" spans="1:13" ht="16.2" thickBot="1">
      <c r="A96" s="191" t="s">
        <v>399</v>
      </c>
    </row>
    <row r="97" spans="1:13">
      <c r="A97" s="881" t="s">
        <v>292</v>
      </c>
      <c r="B97" s="882"/>
      <c r="C97" s="882"/>
      <c r="D97" s="882"/>
      <c r="E97" s="882"/>
      <c r="F97" s="896"/>
      <c r="G97" s="294" t="s">
        <v>400</v>
      </c>
      <c r="H97" s="294" t="s">
        <v>401</v>
      </c>
      <c r="I97" s="294" t="s">
        <v>402</v>
      </c>
      <c r="J97" s="294" t="s">
        <v>403</v>
      </c>
      <c r="K97" s="294" t="s">
        <v>404</v>
      </c>
      <c r="L97" s="883" t="s">
        <v>405</v>
      </c>
      <c r="M97" s="897"/>
    </row>
    <row r="98" spans="1:13">
      <c r="A98" s="193" t="s">
        <v>3</v>
      </c>
      <c r="B98" s="343" t="s">
        <v>406</v>
      </c>
      <c r="E98" s="299"/>
      <c r="F98" s="344"/>
      <c r="M98" s="218"/>
    </row>
    <row r="99" spans="1:13">
      <c r="A99" s="193"/>
      <c r="B99" s="343"/>
      <c r="E99" s="299"/>
      <c r="F99" s="344"/>
      <c r="G99" s="345"/>
      <c r="H99" s="346"/>
      <c r="I99" s="346"/>
      <c r="J99" s="346"/>
      <c r="K99" s="346"/>
      <c r="L99" s="337"/>
      <c r="M99" s="347"/>
    </row>
    <row r="100" spans="1:13">
      <c r="A100" s="193">
        <f>+A89+1</f>
        <v>130</v>
      </c>
      <c r="B100" s="343"/>
      <c r="C100" s="204" t="s">
        <v>407</v>
      </c>
      <c r="E100" s="299"/>
      <c r="F100" s="344"/>
      <c r="G100" s="348">
        <v>8.8400000000000006E-2</v>
      </c>
      <c r="H100" s="349"/>
      <c r="I100" s="350"/>
      <c r="J100" s="350"/>
      <c r="K100" s="351"/>
      <c r="L100" s="352">
        <f>+G100</f>
        <v>8.8400000000000006E-2</v>
      </c>
      <c r="M100" s="347"/>
    </row>
    <row r="101" spans="1:13" ht="16.2" thickBot="1">
      <c r="A101" s="342"/>
      <c r="B101" s="225"/>
      <c r="C101" s="227" t="s">
        <v>408</v>
      </c>
      <c r="D101" s="353"/>
      <c r="E101" s="228"/>
      <c r="F101" s="229"/>
      <c r="G101" s="227"/>
      <c r="H101" s="227"/>
      <c r="I101" s="227"/>
      <c r="J101" s="227"/>
      <c r="K101" s="227"/>
      <c r="L101" s="227"/>
      <c r="M101" s="354"/>
    </row>
    <row r="103" spans="1:13" ht="16.2" thickBot="1">
      <c r="A103" s="355" t="s">
        <v>409</v>
      </c>
    </row>
    <row r="104" spans="1:13" ht="78.75" customHeight="1">
      <c r="A104" s="898" t="s">
        <v>292</v>
      </c>
      <c r="B104" s="899"/>
      <c r="C104" s="899"/>
      <c r="D104" s="899"/>
      <c r="E104" s="899"/>
      <c r="F104" s="900"/>
      <c r="G104" s="356" t="s">
        <v>388</v>
      </c>
      <c r="H104" s="270" t="s">
        <v>410</v>
      </c>
      <c r="I104" s="270" t="s">
        <v>244</v>
      </c>
      <c r="J104" s="901" t="s">
        <v>339</v>
      </c>
      <c r="K104" s="901"/>
      <c r="L104" s="901"/>
      <c r="M104" s="902"/>
    </row>
    <row r="105" spans="1:13">
      <c r="A105" s="193"/>
      <c r="B105" s="156" t="s">
        <v>392</v>
      </c>
      <c r="E105" s="299"/>
      <c r="F105" s="218"/>
      <c r="G105" s="335" t="s">
        <v>186</v>
      </c>
      <c r="H105" s="337" t="s">
        <v>188</v>
      </c>
      <c r="I105" s="337" t="s">
        <v>190</v>
      </c>
      <c r="M105" s="218"/>
    </row>
    <row r="106" spans="1:13">
      <c r="A106" s="193"/>
      <c r="B106" s="156"/>
      <c r="E106" s="299"/>
      <c r="F106" s="218"/>
      <c r="G106" s="335"/>
      <c r="H106" s="337"/>
      <c r="I106" s="337" t="s">
        <v>393</v>
      </c>
      <c r="M106" s="218"/>
    </row>
    <row r="107" spans="1:13">
      <c r="A107" s="193">
        <f>+A100+1</f>
        <v>131</v>
      </c>
      <c r="B107" s="255"/>
      <c r="C107" s="204" t="s">
        <v>411</v>
      </c>
      <c r="E107" s="299"/>
      <c r="F107" s="216" t="s">
        <v>412</v>
      </c>
      <c r="G107" s="339">
        <v>0</v>
      </c>
      <c r="H107" s="340"/>
      <c r="I107" s="357">
        <f>G107-H107</f>
        <v>0</v>
      </c>
      <c r="M107" s="218"/>
    </row>
    <row r="108" spans="1:13">
      <c r="A108" s="193"/>
      <c r="B108" s="255"/>
      <c r="C108" s="204"/>
      <c r="E108" s="299"/>
      <c r="F108" s="216"/>
      <c r="G108" s="341" t="s">
        <v>413</v>
      </c>
      <c r="H108" s="234"/>
      <c r="I108" s="357"/>
      <c r="M108" s="218"/>
    </row>
    <row r="109" spans="1:13" ht="16.2" thickBot="1">
      <c r="A109" s="358"/>
      <c r="B109" s="359"/>
      <c r="C109" s="359"/>
      <c r="D109" s="227"/>
      <c r="E109" s="225"/>
      <c r="F109" s="360"/>
      <c r="G109" s="358" t="s">
        <v>414</v>
      </c>
      <c r="H109" s="359"/>
      <c r="I109" s="359"/>
      <c r="J109" s="361"/>
      <c r="K109" s="361"/>
      <c r="L109" s="361"/>
      <c r="M109" s="362"/>
    </row>
    <row r="111" spans="1:13" ht="16.2" thickBot="1">
      <c r="A111" s="191" t="s">
        <v>415</v>
      </c>
    </row>
    <row r="112" spans="1:13" ht="46.8">
      <c r="A112" s="881" t="s">
        <v>292</v>
      </c>
      <c r="B112" s="882"/>
      <c r="C112" s="882"/>
      <c r="D112" s="882"/>
      <c r="E112" s="882"/>
      <c r="F112" s="882"/>
      <c r="G112" s="293" t="str">
        <f>+C114</f>
        <v>Excluded Transmission Facilities</v>
      </c>
      <c r="H112" s="883" t="s">
        <v>416</v>
      </c>
      <c r="I112" s="884"/>
      <c r="J112" s="884"/>
      <c r="K112" s="884"/>
      <c r="L112" s="884"/>
      <c r="M112" s="885"/>
    </row>
    <row r="113" spans="1:13">
      <c r="A113" s="335"/>
      <c r="B113" s="211" t="s">
        <v>417</v>
      </c>
      <c r="C113" s="156"/>
      <c r="D113" s="156"/>
      <c r="E113" s="336"/>
      <c r="F113" s="363"/>
      <c r="G113" s="297"/>
      <c r="M113" s="218"/>
    </row>
    <row r="114" spans="1:13">
      <c r="A114" s="193">
        <f>+A107+1</f>
        <v>132</v>
      </c>
      <c r="B114" s="166"/>
      <c r="C114" s="204" t="s">
        <v>418</v>
      </c>
      <c r="D114" s="156"/>
      <c r="E114" s="221"/>
      <c r="F114" s="204"/>
      <c r="G114" s="364">
        <v>0</v>
      </c>
      <c r="H114" s="886" t="s">
        <v>419</v>
      </c>
      <c r="I114" s="887"/>
      <c r="J114" s="887"/>
      <c r="K114" s="887"/>
      <c r="L114" s="887"/>
      <c r="M114" s="888"/>
    </row>
    <row r="115" spans="1:13">
      <c r="A115" s="193" t="s">
        <v>420</v>
      </c>
      <c r="B115" s="166"/>
      <c r="C115" s="154" t="s">
        <v>421</v>
      </c>
      <c r="D115" s="156"/>
      <c r="E115" s="212"/>
      <c r="F115" s="198"/>
      <c r="G115" s="364">
        <v>0</v>
      </c>
      <c r="H115" s="886" t="s">
        <v>419</v>
      </c>
      <c r="I115" s="887"/>
      <c r="J115" s="887"/>
      <c r="K115" s="887"/>
      <c r="L115" s="887"/>
      <c r="M115" s="888"/>
    </row>
    <row r="116" spans="1:13" ht="16.2" thickBot="1">
      <c r="A116" s="224"/>
      <c r="B116" s="227"/>
      <c r="C116" s="227"/>
      <c r="D116" s="227"/>
      <c r="E116" s="227"/>
      <c r="F116" s="227"/>
      <c r="G116" s="342"/>
      <c r="H116" s="227"/>
      <c r="I116" s="227"/>
      <c r="J116" s="227"/>
      <c r="K116" s="365" t="s">
        <v>422</v>
      </c>
      <c r="L116" s="227"/>
      <c r="M116" s="330"/>
    </row>
    <row r="117" spans="1:13">
      <c r="K117" s="366"/>
    </row>
    <row r="118" spans="1:13">
      <c r="B118" s="166"/>
      <c r="C118" s="166"/>
      <c r="D118" s="166"/>
      <c r="E118" s="221"/>
      <c r="F118" s="166"/>
      <c r="K118" s="366"/>
    </row>
    <row r="119" spans="1:13" ht="16.2" thickBot="1">
      <c r="A119" s="191" t="s">
        <v>423</v>
      </c>
      <c r="F119" s="227"/>
    </row>
    <row r="120" spans="1:13">
      <c r="A120" s="367" t="s">
        <v>292</v>
      </c>
      <c r="B120" s="368"/>
      <c r="C120" s="368"/>
      <c r="D120" s="369"/>
      <c r="E120" s="369"/>
      <c r="F120" s="369"/>
      <c r="G120" s="294"/>
      <c r="H120" s="294"/>
      <c r="I120" s="294"/>
      <c r="J120" s="294"/>
      <c r="K120" s="294"/>
      <c r="L120" s="294"/>
      <c r="M120" s="370"/>
    </row>
    <row r="121" spans="1:13">
      <c r="A121" s="335"/>
      <c r="B121" s="211"/>
      <c r="C121" s="156"/>
      <c r="E121" s="337" t="s">
        <v>186</v>
      </c>
      <c r="F121" s="337" t="s">
        <v>188</v>
      </c>
      <c r="G121" s="337" t="s">
        <v>190</v>
      </c>
      <c r="H121" s="211"/>
      <c r="I121" s="198"/>
      <c r="K121" s="337"/>
      <c r="M121" s="218"/>
    </row>
    <row r="122" spans="1:13" ht="31.2">
      <c r="A122" s="193"/>
      <c r="C122" s="290" t="s">
        <v>424</v>
      </c>
      <c r="E122" s="235" t="s">
        <v>425</v>
      </c>
      <c r="F122" s="235" t="s">
        <v>426</v>
      </c>
      <c r="G122" s="235" t="s">
        <v>48</v>
      </c>
      <c r="H122" s="167"/>
      <c r="I122" s="290"/>
      <c r="J122" s="371"/>
      <c r="K122" s="372"/>
      <c r="L122" s="235"/>
      <c r="M122" s="264"/>
    </row>
    <row r="123" spans="1:13" ht="17.25" customHeight="1">
      <c r="A123" s="193"/>
      <c r="B123" s="166"/>
      <c r="C123" s="154" t="s">
        <v>427</v>
      </c>
      <c r="E123" s="166" t="s">
        <v>428</v>
      </c>
      <c r="F123" s="166" t="s">
        <v>429</v>
      </c>
      <c r="G123" s="337" t="s">
        <v>430</v>
      </c>
      <c r="H123" s="167"/>
      <c r="I123" s="290"/>
      <c r="J123" s="371"/>
      <c r="K123" s="372"/>
      <c r="L123" s="204"/>
      <c r="M123" s="373"/>
    </row>
    <row r="124" spans="1:13" ht="17.25" customHeight="1">
      <c r="A124" s="193">
        <f>+A114+1</f>
        <v>133</v>
      </c>
      <c r="B124" s="166"/>
      <c r="C124" s="154" t="s">
        <v>296</v>
      </c>
      <c r="D124" s="154" t="s">
        <v>431</v>
      </c>
      <c r="E124" s="374">
        <v>0</v>
      </c>
      <c r="F124" s="375">
        <v>0</v>
      </c>
      <c r="G124" s="168">
        <f>+E124+F124</f>
        <v>0</v>
      </c>
      <c r="H124" s="167"/>
      <c r="J124" s="371"/>
      <c r="K124" s="372"/>
      <c r="L124" s="204"/>
      <c r="M124" s="373"/>
    </row>
    <row r="125" spans="1:13" ht="17.25" customHeight="1">
      <c r="A125" s="193">
        <f>+A124+1</f>
        <v>134</v>
      </c>
      <c r="B125" s="166"/>
      <c r="C125" s="204" t="s">
        <v>298</v>
      </c>
      <c r="D125" s="154" t="s">
        <v>432</v>
      </c>
      <c r="E125" s="376">
        <v>0</v>
      </c>
      <c r="F125" s="272">
        <v>0</v>
      </c>
      <c r="G125" s="168">
        <f t="shared" ref="G125:G136" si="2">+E125+F125</f>
        <v>0</v>
      </c>
      <c r="H125" s="167"/>
      <c r="I125" s="290"/>
      <c r="J125" s="371"/>
      <c r="K125" s="372"/>
      <c r="L125" s="204"/>
      <c r="M125" s="373"/>
    </row>
    <row r="126" spans="1:13" ht="17.25" customHeight="1">
      <c r="A126" s="193">
        <f t="shared" ref="A126:A136" si="3">+A125+1</f>
        <v>135</v>
      </c>
      <c r="B126" s="166"/>
      <c r="C126" s="204" t="s">
        <v>300</v>
      </c>
      <c r="D126" s="154" t="s">
        <v>432</v>
      </c>
      <c r="E126" s="376">
        <v>0</v>
      </c>
      <c r="F126" s="272">
        <v>0</v>
      </c>
      <c r="G126" s="168">
        <f t="shared" si="2"/>
        <v>0</v>
      </c>
      <c r="H126" s="167"/>
      <c r="I126" s="290"/>
      <c r="J126" s="371"/>
      <c r="K126" s="372"/>
      <c r="L126" s="204"/>
      <c r="M126" s="373"/>
    </row>
    <row r="127" spans="1:13" ht="17.25" customHeight="1">
      <c r="A127" s="193">
        <f t="shared" si="3"/>
        <v>136</v>
      </c>
      <c r="B127" s="166"/>
      <c r="C127" s="204" t="s">
        <v>301</v>
      </c>
      <c r="D127" s="154" t="s">
        <v>432</v>
      </c>
      <c r="E127" s="376">
        <v>0</v>
      </c>
      <c r="F127" s="272">
        <v>0</v>
      </c>
      <c r="G127" s="168">
        <f t="shared" si="2"/>
        <v>0</v>
      </c>
      <c r="H127" s="167"/>
      <c r="I127" s="290"/>
      <c r="J127" s="371"/>
      <c r="K127" s="372"/>
      <c r="L127" s="204"/>
      <c r="M127" s="373"/>
    </row>
    <row r="128" spans="1:13" ht="17.25" customHeight="1">
      <c r="A128" s="193">
        <f t="shared" si="3"/>
        <v>137</v>
      </c>
      <c r="B128" s="166"/>
      <c r="C128" s="204" t="s">
        <v>302</v>
      </c>
      <c r="D128" s="154" t="s">
        <v>432</v>
      </c>
      <c r="E128" s="376">
        <v>0</v>
      </c>
      <c r="F128" s="272">
        <v>0</v>
      </c>
      <c r="G128" s="168">
        <f t="shared" si="2"/>
        <v>0</v>
      </c>
      <c r="H128" s="167"/>
      <c r="I128" s="290"/>
      <c r="J128" s="371"/>
      <c r="K128" s="372"/>
      <c r="L128" s="204"/>
      <c r="M128" s="373"/>
    </row>
    <row r="129" spans="1:13" ht="17.25" customHeight="1">
      <c r="A129" s="193">
        <f t="shared" si="3"/>
        <v>138</v>
      </c>
      <c r="B129" s="166"/>
      <c r="C129" s="204" t="s">
        <v>303</v>
      </c>
      <c r="D129" s="154" t="s">
        <v>432</v>
      </c>
      <c r="E129" s="376">
        <v>0</v>
      </c>
      <c r="F129" s="272">
        <v>0</v>
      </c>
      <c r="G129" s="168">
        <f t="shared" si="2"/>
        <v>0</v>
      </c>
      <c r="H129" s="167"/>
      <c r="I129" s="290"/>
      <c r="J129" s="371"/>
      <c r="K129" s="372"/>
      <c r="L129" s="204"/>
      <c r="M129" s="373"/>
    </row>
    <row r="130" spans="1:13" ht="17.25" customHeight="1">
      <c r="A130" s="193">
        <f t="shared" si="3"/>
        <v>139</v>
      </c>
      <c r="B130" s="166"/>
      <c r="C130" s="204" t="s">
        <v>304</v>
      </c>
      <c r="D130" s="154" t="s">
        <v>432</v>
      </c>
      <c r="E130" s="376">
        <v>0</v>
      </c>
      <c r="F130" s="272">
        <v>0</v>
      </c>
      <c r="G130" s="168">
        <f t="shared" si="2"/>
        <v>0</v>
      </c>
      <c r="H130" s="167"/>
      <c r="I130" s="290"/>
      <c r="J130" s="371"/>
      <c r="K130" s="372"/>
      <c r="L130" s="204"/>
      <c r="M130" s="373"/>
    </row>
    <row r="131" spans="1:13" ht="17.25" customHeight="1">
      <c r="A131" s="193">
        <f t="shared" si="3"/>
        <v>140</v>
      </c>
      <c r="B131" s="166"/>
      <c r="C131" s="204" t="s">
        <v>305</v>
      </c>
      <c r="D131" s="154" t="s">
        <v>432</v>
      </c>
      <c r="E131" s="376">
        <v>0</v>
      </c>
      <c r="F131" s="272">
        <v>0</v>
      </c>
      <c r="G131" s="168">
        <f t="shared" si="2"/>
        <v>0</v>
      </c>
      <c r="H131" s="167"/>
      <c r="I131" s="290"/>
      <c r="J131" s="371"/>
      <c r="K131" s="372"/>
      <c r="L131" s="204"/>
      <c r="M131" s="373"/>
    </row>
    <row r="132" spans="1:13" ht="17.25" customHeight="1">
      <c r="A132" s="193">
        <f t="shared" si="3"/>
        <v>141</v>
      </c>
      <c r="B132" s="166"/>
      <c r="C132" s="204" t="s">
        <v>306</v>
      </c>
      <c r="D132" s="154" t="s">
        <v>432</v>
      </c>
      <c r="E132" s="376">
        <v>0</v>
      </c>
      <c r="F132" s="272">
        <v>0</v>
      </c>
      <c r="G132" s="168">
        <f t="shared" si="2"/>
        <v>0</v>
      </c>
      <c r="H132" s="167"/>
      <c r="I132" s="290"/>
      <c r="J132" s="371"/>
      <c r="K132" s="372"/>
      <c r="L132" s="204"/>
      <c r="M132" s="373"/>
    </row>
    <row r="133" spans="1:13" ht="17.25" customHeight="1">
      <c r="A133" s="193">
        <f t="shared" si="3"/>
        <v>142</v>
      </c>
      <c r="B133" s="166"/>
      <c r="C133" s="204" t="s">
        <v>307</v>
      </c>
      <c r="D133" s="154" t="s">
        <v>432</v>
      </c>
      <c r="E133" s="376">
        <v>0</v>
      </c>
      <c r="F133" s="272">
        <v>0</v>
      </c>
      <c r="G133" s="168">
        <f t="shared" si="2"/>
        <v>0</v>
      </c>
      <c r="H133" s="167"/>
      <c r="I133" s="290"/>
      <c r="J133" s="371"/>
      <c r="K133" s="372"/>
      <c r="L133" s="204"/>
      <c r="M133" s="373"/>
    </row>
    <row r="134" spans="1:13">
      <c r="A134" s="193">
        <f t="shared" si="3"/>
        <v>143</v>
      </c>
      <c r="B134" s="166"/>
      <c r="C134" s="204" t="s">
        <v>308</v>
      </c>
      <c r="D134" s="154" t="s">
        <v>432</v>
      </c>
      <c r="E134" s="376">
        <v>0</v>
      </c>
      <c r="F134" s="272">
        <v>0</v>
      </c>
      <c r="G134" s="168">
        <f t="shared" si="2"/>
        <v>0</v>
      </c>
      <c r="H134" s="167"/>
      <c r="I134" s="290"/>
      <c r="J134" s="371"/>
      <c r="K134" s="372"/>
      <c r="L134" s="204"/>
      <c r="M134" s="373"/>
    </row>
    <row r="135" spans="1:13" ht="17.25" customHeight="1">
      <c r="A135" s="193">
        <f t="shared" si="3"/>
        <v>144</v>
      </c>
      <c r="B135" s="166"/>
      <c r="C135" s="204" t="s">
        <v>309</v>
      </c>
      <c r="D135" s="154" t="s">
        <v>432</v>
      </c>
      <c r="E135" s="376">
        <v>0</v>
      </c>
      <c r="F135" s="272">
        <v>0</v>
      </c>
      <c r="G135" s="168">
        <f t="shared" si="2"/>
        <v>0</v>
      </c>
      <c r="H135" s="167"/>
      <c r="I135" s="290"/>
      <c r="J135" s="371"/>
      <c r="K135" s="372"/>
      <c r="L135" s="204"/>
      <c r="M135" s="373"/>
    </row>
    <row r="136" spans="1:13" ht="17.25" customHeight="1">
      <c r="A136" s="193">
        <f t="shared" si="3"/>
        <v>145</v>
      </c>
      <c r="B136" s="166"/>
      <c r="C136" s="204" t="s">
        <v>296</v>
      </c>
      <c r="D136" s="154" t="s">
        <v>433</v>
      </c>
      <c r="E136" s="376">
        <v>0</v>
      </c>
      <c r="F136" s="272">
        <v>0</v>
      </c>
      <c r="G136" s="168">
        <f t="shared" si="2"/>
        <v>0</v>
      </c>
      <c r="H136" s="167"/>
      <c r="I136" s="290"/>
      <c r="J136" s="371"/>
      <c r="K136" s="372"/>
      <c r="M136" s="373"/>
    </row>
    <row r="137" spans="1:13" ht="17.25" customHeight="1">
      <c r="A137" s="193"/>
      <c r="B137" s="166"/>
      <c r="C137" s="204"/>
      <c r="E137" s="215"/>
      <c r="F137" s="164"/>
      <c r="G137" s="164"/>
      <c r="H137" s="168"/>
      <c r="I137" s="290"/>
      <c r="J137" s="371"/>
      <c r="K137" s="372"/>
      <c r="M137" s="373"/>
    </row>
    <row r="138" spans="1:13" ht="16.2" thickBot="1">
      <c r="A138" s="224">
        <f>+A136+1</f>
        <v>146</v>
      </c>
      <c r="B138" s="225"/>
      <c r="C138" s="227" t="s">
        <v>434</v>
      </c>
      <c r="D138" s="377"/>
      <c r="E138" s="227"/>
      <c r="F138" s="227"/>
      <c r="G138" s="361">
        <f>SUM(G124:G136)/13</f>
        <v>0</v>
      </c>
      <c r="H138" s="361"/>
      <c r="I138" s="378"/>
      <c r="J138" s="379"/>
      <c r="K138" s="379"/>
      <c r="L138" s="288"/>
      <c r="M138" s="289"/>
    </row>
    <row r="139" spans="1:13">
      <c r="B139" s="166"/>
      <c r="C139" s="156"/>
      <c r="G139" s="380"/>
      <c r="H139" s="380"/>
      <c r="I139" s="381"/>
      <c r="J139" s="380"/>
      <c r="K139" s="380"/>
      <c r="L139" s="235"/>
      <c r="M139" s="235"/>
    </row>
    <row r="140" spans="1:13" ht="16.2" thickBot="1">
      <c r="A140" s="191" t="s">
        <v>435</v>
      </c>
    </row>
    <row r="141" spans="1:13">
      <c r="A141" s="367" t="s">
        <v>292</v>
      </c>
      <c r="B141" s="368"/>
      <c r="C141" s="368"/>
      <c r="D141" s="369"/>
      <c r="E141" s="369"/>
      <c r="F141" s="369"/>
      <c r="G141" s="294"/>
      <c r="H141" s="294"/>
      <c r="I141" s="294"/>
      <c r="J141" s="294"/>
      <c r="K141" s="294"/>
      <c r="L141" s="294"/>
      <c r="M141" s="370"/>
    </row>
    <row r="142" spans="1:13">
      <c r="A142" s="335"/>
      <c r="B142" s="211"/>
      <c r="C142" s="156"/>
      <c r="E142" s="211" t="s">
        <v>44</v>
      </c>
      <c r="H142" s="167"/>
      <c r="I142" s="198"/>
      <c r="K142" s="337"/>
      <c r="M142" s="218"/>
    </row>
    <row r="143" spans="1:13">
      <c r="A143" s="193"/>
      <c r="E143" s="168"/>
      <c r="F143" s="382"/>
      <c r="G143" s="382"/>
      <c r="H143" s="383" t="s">
        <v>436</v>
      </c>
      <c r="I143" s="167"/>
      <c r="J143" s="371"/>
      <c r="L143" s="235"/>
      <c r="M143" s="264"/>
    </row>
    <row r="144" spans="1:13" ht="15.75" customHeight="1">
      <c r="A144" s="193">
        <f>+A138+1</f>
        <v>147</v>
      </c>
      <c r="B144" s="166"/>
      <c r="C144" s="154" t="s">
        <v>437</v>
      </c>
      <c r="D144" s="154" t="s">
        <v>438</v>
      </c>
      <c r="E144" s="168">
        <f>+'11 - Reg. Assets and Abnd Plnt'!P18</f>
        <v>997719.60000000009</v>
      </c>
      <c r="F144" s="382" t="s">
        <v>439</v>
      </c>
      <c r="G144" s="382"/>
      <c r="H144" s="168" t="s">
        <v>440</v>
      </c>
      <c r="I144" s="167"/>
      <c r="J144" s="168"/>
      <c r="K144" s="168"/>
      <c r="L144" s="168"/>
      <c r="M144" s="384"/>
    </row>
    <row r="145" spans="1:13">
      <c r="A145" s="193"/>
      <c r="B145" s="166"/>
      <c r="E145" s="168"/>
      <c r="F145" s="385"/>
      <c r="G145" s="385"/>
      <c r="H145" s="154" t="s">
        <v>441</v>
      </c>
      <c r="I145" s="167"/>
      <c r="J145" s="386"/>
      <c r="K145" s="372"/>
      <c r="L145" s="204"/>
      <c r="M145" s="373"/>
    </row>
    <row r="146" spans="1:13">
      <c r="A146" s="193">
        <f>+A144+1</f>
        <v>148</v>
      </c>
      <c r="B146" s="166"/>
      <c r="C146" s="154" t="s">
        <v>442</v>
      </c>
      <c r="D146" s="154" t="s">
        <v>443</v>
      </c>
      <c r="E146" s="168">
        <f>+'11 - Reg. Assets and Abnd Plnt'!AJ18</f>
        <v>13072272.393548371</v>
      </c>
      <c r="F146" s="382" t="s">
        <v>444</v>
      </c>
      <c r="G146" s="382"/>
      <c r="H146" s="372" t="s">
        <v>445</v>
      </c>
      <c r="I146" s="167"/>
      <c r="J146" s="167"/>
      <c r="K146" s="372"/>
      <c r="M146" s="373"/>
    </row>
    <row r="147" spans="1:13">
      <c r="A147" s="193"/>
      <c r="B147" s="166"/>
      <c r="E147" s="382"/>
      <c r="F147" s="382"/>
      <c r="G147" s="382"/>
      <c r="H147" s="290" t="s">
        <v>446</v>
      </c>
      <c r="I147" s="371" t="s">
        <v>447</v>
      </c>
      <c r="J147" s="371"/>
      <c r="K147" s="372"/>
      <c r="M147" s="373"/>
    </row>
    <row r="148" spans="1:13">
      <c r="A148" s="193"/>
      <c r="B148" s="166"/>
      <c r="E148" s="382"/>
      <c r="F148" s="382"/>
      <c r="G148" s="382"/>
      <c r="H148" s="387" t="str">
        <f>'11 - Reg. Assets and Abnd Plnt'!AN8</f>
        <v>ER20-2010-000</v>
      </c>
      <c r="I148" s="388" t="s">
        <v>448</v>
      </c>
      <c r="J148" s="167"/>
      <c r="K148" s="372"/>
      <c r="L148" s="204"/>
      <c r="M148" s="373"/>
    </row>
    <row r="149" spans="1:13" ht="15.75" customHeight="1">
      <c r="A149" s="297"/>
      <c r="H149" s="389"/>
      <c r="I149" s="389"/>
      <c r="J149" s="167"/>
      <c r="M149" s="218"/>
    </row>
    <row r="150" spans="1:13" ht="16.2" thickBot="1">
      <c r="A150" s="224"/>
      <c r="B150" s="225"/>
      <c r="C150" s="390"/>
      <c r="D150" s="227"/>
      <c r="E150" s="227"/>
      <c r="F150" s="227"/>
      <c r="G150" s="379"/>
      <c r="H150" s="391"/>
      <c r="I150" s="392"/>
      <c r="J150" s="359"/>
      <c r="K150" s="393"/>
      <c r="L150" s="288"/>
      <c r="M150" s="289"/>
    </row>
    <row r="152" spans="1:13" ht="16.2" thickBot="1">
      <c r="A152" s="191" t="s">
        <v>449</v>
      </c>
    </row>
    <row r="153" spans="1:13" ht="16.5" customHeight="1">
      <c r="A153" s="873" t="s">
        <v>292</v>
      </c>
      <c r="B153" s="874"/>
      <c r="C153" s="874"/>
      <c r="D153" s="874"/>
      <c r="E153" s="874"/>
      <c r="F153" s="874"/>
      <c r="G153" s="394"/>
      <c r="H153" s="394"/>
      <c r="I153" s="394"/>
      <c r="J153" s="884" t="s">
        <v>339</v>
      </c>
      <c r="K153" s="889"/>
      <c r="L153" s="889"/>
      <c r="M153" s="890"/>
    </row>
    <row r="154" spans="1:13">
      <c r="A154" s="193">
        <f>+A146+1</f>
        <v>149</v>
      </c>
      <c r="C154" s="194" t="s">
        <v>450</v>
      </c>
      <c r="E154" s="166"/>
      <c r="F154" s="255"/>
      <c r="G154" s="366"/>
      <c r="J154" s="235"/>
      <c r="K154" s="235"/>
      <c r="L154" s="235"/>
      <c r="M154" s="264"/>
    </row>
    <row r="155" spans="1:13">
      <c r="A155" s="193"/>
      <c r="C155" s="194"/>
      <c r="E155" s="166"/>
      <c r="F155" s="255"/>
      <c r="G155" s="366"/>
      <c r="J155" s="235"/>
      <c r="K155" s="235"/>
      <c r="L155" s="235"/>
      <c r="M155" s="264"/>
    </row>
    <row r="156" spans="1:13">
      <c r="A156" s="193"/>
      <c r="B156" s="166"/>
      <c r="M156" s="218"/>
    </row>
    <row r="157" spans="1:13">
      <c r="A157" s="193">
        <f>A154+1</f>
        <v>150</v>
      </c>
      <c r="B157" s="166"/>
      <c r="C157" s="395" t="s">
        <v>451</v>
      </c>
      <c r="D157" s="198"/>
      <c r="E157" s="396"/>
      <c r="M157" s="218"/>
    </row>
    <row r="158" spans="1:13">
      <c r="A158" s="193">
        <f t="shared" ref="A158:A165" si="4">+A157+1</f>
        <v>151</v>
      </c>
      <c r="B158" s="166"/>
      <c r="C158" s="20" t="s">
        <v>452</v>
      </c>
      <c r="D158" s="20"/>
      <c r="E158" s="397">
        <v>0</v>
      </c>
      <c r="F158" s="154" t="s">
        <v>299</v>
      </c>
      <c r="M158" s="218"/>
    </row>
    <row r="159" spans="1:13">
      <c r="A159" s="193">
        <f t="shared" si="4"/>
        <v>152</v>
      </c>
      <c r="B159" s="166"/>
      <c r="C159" s="20" t="s">
        <v>453</v>
      </c>
      <c r="D159" s="20"/>
      <c r="E159" s="397">
        <v>0</v>
      </c>
      <c r="M159" s="218"/>
    </row>
    <row r="160" spans="1:13">
      <c r="A160" s="193">
        <f t="shared" si="4"/>
        <v>153</v>
      </c>
      <c r="B160" s="166"/>
      <c r="C160" s="20" t="s">
        <v>454</v>
      </c>
      <c r="D160" s="20" t="s">
        <v>455</v>
      </c>
      <c r="E160" s="398">
        <f>IF(E159=0,0,E158/E159)</f>
        <v>0</v>
      </c>
      <c r="M160" s="218"/>
    </row>
    <row r="161" spans="1:13">
      <c r="A161" s="193">
        <f t="shared" si="4"/>
        <v>154</v>
      </c>
      <c r="B161" s="166"/>
      <c r="C161" s="20" t="s">
        <v>456</v>
      </c>
      <c r="D161" s="20" t="s">
        <v>457</v>
      </c>
      <c r="E161" s="399">
        <v>0</v>
      </c>
      <c r="M161" s="218"/>
    </row>
    <row r="162" spans="1:13">
      <c r="A162" s="193">
        <f t="shared" si="4"/>
        <v>155</v>
      </c>
      <c r="B162" s="166"/>
      <c r="C162" s="20" t="s">
        <v>458</v>
      </c>
      <c r="D162" s="20" t="s">
        <v>459</v>
      </c>
      <c r="E162" s="90">
        <f>+E160*E161</f>
        <v>0</v>
      </c>
      <c r="M162" s="218"/>
    </row>
    <row r="163" spans="1:13">
      <c r="A163" s="193">
        <f t="shared" si="4"/>
        <v>156</v>
      </c>
      <c r="B163" s="166"/>
      <c r="C163" s="20" t="s">
        <v>460</v>
      </c>
      <c r="D163" s="20" t="s">
        <v>432</v>
      </c>
      <c r="E163" s="399">
        <v>0</v>
      </c>
      <c r="M163" s="218"/>
    </row>
    <row r="164" spans="1:13">
      <c r="A164" s="193">
        <f t="shared" si="4"/>
        <v>157</v>
      </c>
      <c r="B164" s="166"/>
      <c r="C164" s="20" t="s">
        <v>461</v>
      </c>
      <c r="D164" s="20" t="s">
        <v>462</v>
      </c>
      <c r="E164" s="90">
        <f>+E162-E163</f>
        <v>0</v>
      </c>
      <c r="M164" s="218"/>
    </row>
    <row r="165" spans="1:13">
      <c r="A165" s="193">
        <f t="shared" si="4"/>
        <v>158</v>
      </c>
      <c r="B165" s="166"/>
      <c r="C165" s="20" t="str">
        <f>"Lines "&amp;A158&amp;"-"&amp;A160&amp;" cannot change absent approval or acceptance by FERC in a separate proceeding. "</f>
        <v xml:space="preserve">Lines 151-153 cannot change absent approval or acceptance by FERC in a separate proceeding. </v>
      </c>
      <c r="D165" s="20"/>
      <c r="E165" s="20"/>
      <c r="M165" s="218"/>
    </row>
    <row r="166" spans="1:13">
      <c r="A166" s="193"/>
      <c r="B166" s="166"/>
      <c r="C166" s="20"/>
      <c r="D166" s="20"/>
      <c r="E166" s="20"/>
      <c r="M166" s="218"/>
    </row>
    <row r="167" spans="1:13">
      <c r="A167" s="193">
        <f>+A165+1</f>
        <v>159</v>
      </c>
      <c r="C167" s="154" t="s">
        <v>463</v>
      </c>
      <c r="E167" s="400">
        <f>E164</f>
        <v>0</v>
      </c>
      <c r="M167" s="218"/>
    </row>
    <row r="168" spans="1:13">
      <c r="A168" s="193"/>
      <c r="M168" s="218"/>
    </row>
    <row r="169" spans="1:13">
      <c r="A169" s="297"/>
      <c r="C169" s="401" t="s">
        <v>464</v>
      </c>
      <c r="M169" s="218"/>
    </row>
    <row r="170" spans="1:13">
      <c r="A170" s="297"/>
      <c r="M170" s="218"/>
    </row>
    <row r="171" spans="1:13" ht="16.2" thickBot="1">
      <c r="A171" s="342"/>
      <c r="B171" s="227"/>
      <c r="C171" s="227"/>
      <c r="D171" s="227"/>
      <c r="E171" s="227"/>
      <c r="F171" s="227"/>
      <c r="G171" s="227"/>
      <c r="H171" s="227"/>
      <c r="I171" s="227"/>
      <c r="J171" s="227"/>
      <c r="K171" s="227"/>
      <c r="L171" s="227"/>
      <c r="M171" s="330"/>
    </row>
    <row r="172" spans="1:13">
      <c r="A172" s="154"/>
    </row>
    <row r="173" spans="1:13">
      <c r="A173" s="154"/>
    </row>
    <row r="174" spans="1:13">
      <c r="A174" s="154"/>
    </row>
    <row r="175" spans="1:13">
      <c r="A175" s="154"/>
    </row>
    <row r="176" spans="1:13">
      <c r="A176" s="154"/>
    </row>
    <row r="177" spans="1:1">
      <c r="A177" s="154"/>
    </row>
    <row r="178" spans="1:1">
      <c r="A178" s="154"/>
    </row>
    <row r="179" spans="1:1">
      <c r="A179" s="154"/>
    </row>
    <row r="180" spans="1:1">
      <c r="A180" s="154"/>
    </row>
    <row r="181" spans="1:1">
      <c r="A181" s="154"/>
    </row>
    <row r="182" spans="1:1">
      <c r="A182" s="154"/>
    </row>
    <row r="183" spans="1:1">
      <c r="A183" s="154"/>
    </row>
    <row r="184" spans="1:1">
      <c r="A184" s="154"/>
    </row>
  </sheetData>
  <mergeCells count="25">
    <mergeCell ref="G53:M53"/>
    <mergeCell ref="A3:F3"/>
    <mergeCell ref="J3:M3"/>
    <mergeCell ref="J48:M48"/>
    <mergeCell ref="A50:F50"/>
    <mergeCell ref="J50:M50"/>
    <mergeCell ref="A104:F104"/>
    <mergeCell ref="J104:M104"/>
    <mergeCell ref="A57:F57"/>
    <mergeCell ref="J57:M57"/>
    <mergeCell ref="J58:M58"/>
    <mergeCell ref="A73:F73"/>
    <mergeCell ref="J73:M73"/>
    <mergeCell ref="J74:M74"/>
    <mergeCell ref="A86:F86"/>
    <mergeCell ref="J86:M86"/>
    <mergeCell ref="J93:M93"/>
    <mergeCell ref="A97:F97"/>
    <mergeCell ref="L97:M97"/>
    <mergeCell ref="A112:F112"/>
    <mergeCell ref="H112:M112"/>
    <mergeCell ref="H114:M114"/>
    <mergeCell ref="H115:M115"/>
    <mergeCell ref="A153:F153"/>
    <mergeCell ref="J153:M153"/>
  </mergeCells>
  <printOptions horizontalCentered="1"/>
  <pageMargins left="0.25" right="0.25" top="0.75" bottom="0.75" header="0.5" footer="0.5"/>
  <pageSetup scale="60" fitToHeight="0" orientation="landscape" r:id="rId1"/>
  <headerFooter alignWithMargins="0"/>
  <rowBreaks count="5" manualBreakCount="5">
    <brk id="47" max="16383" man="1"/>
    <brk id="83" max="16383" man="1"/>
    <brk id="94" max="16383" man="1"/>
    <brk id="118" max="16383" man="1"/>
    <brk id="151" max="16383" man="1"/>
  </rowBreaks>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07D05-686B-4281-AE44-144C234FD7D7}">
  <sheetPr>
    <tabColor rgb="FF92D050"/>
    <pageSetUpPr fitToPage="1"/>
  </sheetPr>
  <dimension ref="A1:S46"/>
  <sheetViews>
    <sheetView view="pageBreakPreview" zoomScale="70" zoomScaleNormal="85" zoomScaleSheetLayoutView="70" workbookViewId="0">
      <selection activeCell="B43" sqref="B43:G43"/>
    </sheetView>
  </sheetViews>
  <sheetFormatPr defaultRowHeight="15.6"/>
  <cols>
    <col min="1" max="1" width="8.7265625" style="402"/>
    <col min="2" max="2" width="57.6328125" style="20" customWidth="1"/>
    <col min="3" max="3" width="22.453125" style="20" customWidth="1"/>
    <col min="4" max="4" width="13.453125" style="32" bestFit="1" customWidth="1"/>
    <col min="5" max="5" width="11.1796875" style="32" bestFit="1" customWidth="1"/>
    <col min="6" max="12" width="9.81640625" style="32" bestFit="1" customWidth="1"/>
    <col min="13" max="13" width="10" style="32" bestFit="1" customWidth="1"/>
    <col min="14" max="16" width="9.81640625" style="32" bestFit="1" customWidth="1"/>
    <col min="17" max="17" width="12.90625" style="32" bestFit="1" customWidth="1"/>
    <col min="18" max="18" width="11" style="404" bestFit="1" customWidth="1"/>
  </cols>
  <sheetData>
    <row r="1" spans="1:18">
      <c r="E1" s="403"/>
    </row>
    <row r="2" spans="1:18">
      <c r="E2" s="403"/>
    </row>
    <row r="3" spans="1:18" s="167" customFormat="1">
      <c r="A3" s="405" t="s">
        <v>465</v>
      </c>
      <c r="B3" s="154"/>
      <c r="C3" s="154"/>
      <c r="D3" s="28"/>
      <c r="E3" s="28"/>
      <c r="F3" s="28"/>
      <c r="G3" s="28"/>
      <c r="H3" s="28"/>
      <c r="I3" s="28"/>
      <c r="J3" s="28"/>
      <c r="K3" s="28"/>
      <c r="L3" s="28"/>
      <c r="M3" s="28"/>
      <c r="N3" s="28"/>
      <c r="O3" s="28"/>
      <c r="P3" s="28"/>
      <c r="Q3" s="28"/>
      <c r="R3" s="406"/>
    </row>
    <row r="4" spans="1:18" s="167" customFormat="1" ht="16.2" thickBot="1">
      <c r="A4" s="906" t="s">
        <v>292</v>
      </c>
      <c r="B4" s="906"/>
      <c r="C4" s="906"/>
      <c r="D4" s="906"/>
      <c r="E4" s="906"/>
      <c r="F4" s="906"/>
      <c r="G4" s="407"/>
      <c r="H4" s="917"/>
      <c r="I4" s="918"/>
      <c r="J4" s="918"/>
      <c r="K4" s="918"/>
      <c r="L4" s="918"/>
      <c r="M4" s="918"/>
      <c r="N4" s="28"/>
      <c r="O4" s="28"/>
      <c r="P4" s="28"/>
      <c r="Q4" s="28"/>
      <c r="R4" s="406"/>
    </row>
    <row r="5" spans="1:18" s="167" customFormat="1">
      <c r="A5" s="408"/>
      <c r="B5" s="409"/>
      <c r="C5" s="266"/>
      <c r="D5" s="410"/>
      <c r="E5" s="411"/>
      <c r="F5" s="411"/>
      <c r="G5" s="411"/>
      <c r="H5" s="410"/>
      <c r="I5" s="410"/>
      <c r="J5" s="410"/>
      <c r="K5" s="410"/>
      <c r="L5" s="410"/>
      <c r="M5" s="410"/>
      <c r="N5" s="412"/>
      <c r="O5" s="412"/>
      <c r="P5" s="412"/>
      <c r="Q5" s="413"/>
      <c r="R5" s="406"/>
    </row>
    <row r="6" spans="1:18">
      <c r="A6" s="414"/>
      <c r="B6" s="18"/>
      <c r="C6" s="18"/>
      <c r="D6" s="217"/>
      <c r="E6" s="217"/>
      <c r="F6" s="217"/>
      <c r="G6" s="217"/>
      <c r="H6" s="217"/>
      <c r="I6" s="217"/>
      <c r="J6" s="217"/>
      <c r="K6" s="217"/>
      <c r="L6" s="217"/>
      <c r="M6" s="217"/>
      <c r="N6" s="217"/>
      <c r="O6" s="217"/>
      <c r="P6" s="217"/>
      <c r="Q6" s="415"/>
    </row>
    <row r="7" spans="1:18">
      <c r="A7" s="416"/>
      <c r="B7" s="18"/>
      <c r="C7" s="19" t="s">
        <v>466</v>
      </c>
      <c r="D7" s="217"/>
      <c r="E7" s="217"/>
      <c r="F7" s="217"/>
      <c r="G7" s="217"/>
      <c r="H7" s="217"/>
      <c r="I7" s="217"/>
      <c r="J7" s="217"/>
      <c r="K7" s="217"/>
      <c r="L7" s="217"/>
      <c r="M7" s="217"/>
      <c r="N7" s="217"/>
      <c r="O7" s="217"/>
      <c r="P7" s="217"/>
      <c r="Q7" s="415"/>
    </row>
    <row r="8" spans="1:18">
      <c r="A8" s="417" t="s">
        <v>251</v>
      </c>
      <c r="B8" s="418" t="s">
        <v>467</v>
      </c>
      <c r="C8" s="418" t="s">
        <v>468</v>
      </c>
      <c r="D8" s="419" t="s">
        <v>296</v>
      </c>
      <c r="E8" s="419" t="s">
        <v>298</v>
      </c>
      <c r="F8" s="419" t="s">
        <v>300</v>
      </c>
      <c r="G8" s="419" t="s">
        <v>301</v>
      </c>
      <c r="H8" s="419" t="s">
        <v>302</v>
      </c>
      <c r="I8" s="419" t="s">
        <v>303</v>
      </c>
      <c r="J8" s="419" t="s">
        <v>469</v>
      </c>
      <c r="K8" s="419" t="s">
        <v>305</v>
      </c>
      <c r="L8" s="419" t="s">
        <v>306</v>
      </c>
      <c r="M8" s="419" t="s">
        <v>307</v>
      </c>
      <c r="N8" s="419" t="s">
        <v>314</v>
      </c>
      <c r="O8" s="419" t="s">
        <v>309</v>
      </c>
      <c r="P8" s="419" t="s">
        <v>296</v>
      </c>
      <c r="Q8" s="420" t="s">
        <v>470</v>
      </c>
    </row>
    <row r="9" spans="1:18">
      <c r="A9" s="416"/>
      <c r="D9" s="322" t="s">
        <v>471</v>
      </c>
      <c r="E9" s="322" t="s">
        <v>472</v>
      </c>
      <c r="F9" s="322" t="s">
        <v>473</v>
      </c>
      <c r="G9" s="322" t="s">
        <v>474</v>
      </c>
      <c r="H9" s="322" t="s">
        <v>475</v>
      </c>
      <c r="I9" s="322" t="s">
        <v>476</v>
      </c>
      <c r="J9" s="322" t="s">
        <v>477</v>
      </c>
      <c r="K9" s="322" t="s">
        <v>478</v>
      </c>
      <c r="L9" s="322" t="s">
        <v>479</v>
      </c>
      <c r="M9" s="322" t="s">
        <v>480</v>
      </c>
      <c r="N9" s="322" t="s">
        <v>481</v>
      </c>
      <c r="O9" s="322" t="s">
        <v>482</v>
      </c>
      <c r="P9" s="322" t="s">
        <v>483</v>
      </c>
      <c r="Q9" s="421" t="s">
        <v>484</v>
      </c>
    </row>
    <row r="10" spans="1:18">
      <c r="A10" s="416">
        <f>+'2a - Cost Support'!A167+1</f>
        <v>160</v>
      </c>
      <c r="B10" s="20" t="s">
        <v>485</v>
      </c>
      <c r="D10" s="422"/>
      <c r="E10" s="422"/>
      <c r="F10" s="422"/>
      <c r="G10" s="422"/>
      <c r="H10" s="422"/>
      <c r="I10" s="422"/>
      <c r="J10" s="422"/>
      <c r="K10" s="422"/>
      <c r="L10" s="422"/>
      <c r="M10" s="422"/>
      <c r="N10" s="422"/>
      <c r="O10" s="422"/>
      <c r="P10" s="422"/>
      <c r="Q10" s="423"/>
    </row>
    <row r="11" spans="1:18">
      <c r="A11" s="416">
        <f t="shared" ref="A11:A41" si="0">A10+1</f>
        <v>161</v>
      </c>
      <c r="B11" s="424" t="s">
        <v>486</v>
      </c>
      <c r="C11" s="18" t="s">
        <v>487</v>
      </c>
      <c r="D11" s="425">
        <v>0</v>
      </c>
      <c r="E11" s="425">
        <v>0</v>
      </c>
      <c r="F11" s="425">
        <v>0</v>
      </c>
      <c r="G11" s="425">
        <v>0</v>
      </c>
      <c r="H11" s="425">
        <v>0</v>
      </c>
      <c r="I11" s="425">
        <v>0</v>
      </c>
      <c r="J11" s="425">
        <v>0</v>
      </c>
      <c r="K11" s="425">
        <v>0</v>
      </c>
      <c r="L11" s="425">
        <v>0</v>
      </c>
      <c r="M11" s="425">
        <v>0</v>
      </c>
      <c r="N11" s="425">
        <v>0</v>
      </c>
      <c r="O11" s="425">
        <v>0</v>
      </c>
      <c r="P11" s="425">
        <v>0</v>
      </c>
      <c r="Q11" s="423">
        <f>AVERAGE(D11:P11)</f>
        <v>0</v>
      </c>
    </row>
    <row r="12" spans="1:18">
      <c r="A12" s="416">
        <f t="shared" si="0"/>
        <v>162</v>
      </c>
      <c r="B12" s="424" t="s">
        <v>488</v>
      </c>
      <c r="C12" s="18" t="s">
        <v>489</v>
      </c>
      <c r="D12" s="425">
        <v>37652262</v>
      </c>
      <c r="E12" s="425">
        <v>37652262.030000001</v>
      </c>
      <c r="F12" s="425">
        <v>37652262.030000001</v>
      </c>
      <c r="G12" s="425">
        <v>38345960.689999998</v>
      </c>
      <c r="H12" s="425">
        <v>38345960.689999998</v>
      </c>
      <c r="I12" s="425">
        <v>38345960.689999998</v>
      </c>
      <c r="J12" s="425">
        <v>38984310.539999999</v>
      </c>
      <c r="K12" s="425">
        <v>38984310.539999999</v>
      </c>
      <c r="L12" s="425">
        <v>38984310.539999999</v>
      </c>
      <c r="M12" s="425">
        <v>40672159.850000001</v>
      </c>
      <c r="N12" s="425">
        <v>40672159.850000001</v>
      </c>
      <c r="O12" s="425">
        <v>40672159.850000001</v>
      </c>
      <c r="P12" s="425">
        <v>42056347</v>
      </c>
      <c r="Q12" s="423">
        <f t="shared" ref="Q12:Q14" si="1">AVERAGE(D12:P12)</f>
        <v>39155417.407692313</v>
      </c>
    </row>
    <row r="13" spans="1:18">
      <c r="A13" s="416">
        <f t="shared" si="0"/>
        <v>163</v>
      </c>
      <c r="B13" s="424" t="s">
        <v>490</v>
      </c>
      <c r="C13" s="18" t="s">
        <v>491</v>
      </c>
      <c r="D13" s="425">
        <v>0</v>
      </c>
      <c r="E13" s="425">
        <v>0</v>
      </c>
      <c r="F13" s="425">
        <v>0</v>
      </c>
      <c r="G13" s="425">
        <v>0</v>
      </c>
      <c r="H13" s="425">
        <v>0</v>
      </c>
      <c r="I13" s="425">
        <v>0</v>
      </c>
      <c r="J13" s="425">
        <v>0</v>
      </c>
      <c r="K13" s="425">
        <v>0</v>
      </c>
      <c r="L13" s="425">
        <v>0</v>
      </c>
      <c r="M13" s="425">
        <v>0</v>
      </c>
      <c r="N13" s="425">
        <v>0</v>
      </c>
      <c r="O13" s="425">
        <v>0</v>
      </c>
      <c r="P13" s="425">
        <v>0</v>
      </c>
      <c r="Q13" s="423">
        <f t="shared" si="1"/>
        <v>0</v>
      </c>
    </row>
    <row r="14" spans="1:18" ht="16.2" thickBot="1">
      <c r="A14" s="416">
        <f t="shared" si="0"/>
        <v>164</v>
      </c>
      <c r="B14" s="426" t="s">
        <v>492</v>
      </c>
      <c r="C14" s="18" t="s">
        <v>493</v>
      </c>
      <c r="D14" s="427">
        <v>0</v>
      </c>
      <c r="E14" s="427">
        <v>0</v>
      </c>
      <c r="F14" s="427">
        <v>0</v>
      </c>
      <c r="G14" s="427">
        <v>0</v>
      </c>
      <c r="H14" s="427">
        <v>0</v>
      </c>
      <c r="I14" s="427">
        <v>0</v>
      </c>
      <c r="J14" s="427">
        <v>0</v>
      </c>
      <c r="K14" s="427">
        <v>0</v>
      </c>
      <c r="L14" s="427">
        <v>0</v>
      </c>
      <c r="M14" s="427">
        <v>0</v>
      </c>
      <c r="N14" s="427">
        <v>0</v>
      </c>
      <c r="O14" s="427">
        <v>0</v>
      </c>
      <c r="P14" s="427">
        <v>0</v>
      </c>
      <c r="Q14" s="423">
        <f t="shared" si="1"/>
        <v>0</v>
      </c>
    </row>
    <row r="15" spans="1:18" ht="16.2" thickBot="1">
      <c r="A15" s="416">
        <f t="shared" si="0"/>
        <v>165</v>
      </c>
      <c r="B15" s="428" t="s">
        <v>494</v>
      </c>
      <c r="C15" s="18" t="str">
        <f>"Sum Lines "&amp;A11&amp;" - "&amp;A14</f>
        <v>Sum Lines 161 - 164</v>
      </c>
      <c r="D15" s="422">
        <f t="shared" ref="D15:E15" si="2">SUM(D11:D14)</f>
        <v>37652262</v>
      </c>
      <c r="E15" s="422">
        <f t="shared" si="2"/>
        <v>37652262.030000001</v>
      </c>
      <c r="F15" s="422">
        <f t="shared" ref="F15:P15" si="3">SUM(F11:F14)</f>
        <v>37652262.030000001</v>
      </c>
      <c r="G15" s="422">
        <f t="shared" si="3"/>
        <v>38345960.689999998</v>
      </c>
      <c r="H15" s="422">
        <f t="shared" si="3"/>
        <v>38345960.689999998</v>
      </c>
      <c r="I15" s="422">
        <f t="shared" si="3"/>
        <v>38345960.689999998</v>
      </c>
      <c r="J15" s="422">
        <f t="shared" si="3"/>
        <v>38984310.539999999</v>
      </c>
      <c r="K15" s="422">
        <f t="shared" si="3"/>
        <v>38984310.539999999</v>
      </c>
      <c r="L15" s="422">
        <f t="shared" si="3"/>
        <v>38984310.539999999</v>
      </c>
      <c r="M15" s="422">
        <f t="shared" si="3"/>
        <v>40672159.850000001</v>
      </c>
      <c r="N15" s="422">
        <f t="shared" si="3"/>
        <v>40672159.850000001</v>
      </c>
      <c r="O15" s="422">
        <f t="shared" si="3"/>
        <v>40672159.850000001</v>
      </c>
      <c r="P15" s="422">
        <f t="shared" si="3"/>
        <v>42056347</v>
      </c>
      <c r="Q15" s="429">
        <f>SUM(Q11:Q14)</f>
        <v>39155417.407692313</v>
      </c>
    </row>
    <row r="16" spans="1:18" ht="16.2" thickBot="1">
      <c r="A16" s="416">
        <f t="shared" si="0"/>
        <v>166</v>
      </c>
      <c r="D16" s="422"/>
      <c r="E16" s="422"/>
      <c r="F16" s="422"/>
      <c r="G16" s="422"/>
      <c r="H16" s="422"/>
      <c r="I16" s="422"/>
      <c r="J16" s="422"/>
      <c r="K16" s="422"/>
      <c r="L16" s="422"/>
      <c r="M16" s="422"/>
      <c r="N16" s="422"/>
      <c r="O16" s="422"/>
      <c r="P16" s="422"/>
      <c r="Q16" s="423"/>
    </row>
    <row r="17" spans="1:19" ht="16.2" thickBot="1">
      <c r="A17" s="416">
        <f t="shared" si="0"/>
        <v>167</v>
      </c>
      <c r="B17" s="428" t="s">
        <v>495</v>
      </c>
      <c r="C17" s="18" t="s">
        <v>496</v>
      </c>
      <c r="D17" s="425">
        <v>0</v>
      </c>
      <c r="E17" s="425"/>
      <c r="F17" s="425">
        <v>0</v>
      </c>
      <c r="G17" s="425">
        <v>0</v>
      </c>
      <c r="H17" s="425">
        <v>0</v>
      </c>
      <c r="I17" s="425">
        <v>0</v>
      </c>
      <c r="J17" s="425">
        <v>0</v>
      </c>
      <c r="K17" s="425">
        <v>0</v>
      </c>
      <c r="L17" s="425">
        <v>0</v>
      </c>
      <c r="M17" s="425">
        <v>0</v>
      </c>
      <c r="N17" s="425">
        <v>0</v>
      </c>
      <c r="O17" s="425">
        <v>0</v>
      </c>
      <c r="P17" s="425">
        <v>0</v>
      </c>
      <c r="Q17" s="429">
        <f>AVERAGE(D17:P17)</f>
        <v>0</v>
      </c>
    </row>
    <row r="18" spans="1:19">
      <c r="A18" s="416">
        <f t="shared" si="0"/>
        <v>168</v>
      </c>
      <c r="D18" s="422"/>
      <c r="E18" s="422"/>
      <c r="F18" s="422"/>
      <c r="G18" s="422"/>
      <c r="H18" s="422"/>
      <c r="I18" s="422"/>
      <c r="J18" s="422"/>
      <c r="K18" s="422"/>
      <c r="L18" s="422"/>
      <c r="M18" s="422"/>
      <c r="N18" s="422"/>
      <c r="O18" s="422"/>
      <c r="P18" s="422"/>
      <c r="Q18" s="423"/>
    </row>
    <row r="19" spans="1:19">
      <c r="A19" s="416">
        <f t="shared" si="0"/>
        <v>169</v>
      </c>
      <c r="B19" s="20" t="s">
        <v>497</v>
      </c>
      <c r="C19" s="18" t="s">
        <v>498</v>
      </c>
      <c r="D19" s="425">
        <v>56426968</v>
      </c>
      <c r="E19" s="425">
        <v>57046038.890000001</v>
      </c>
      <c r="F19" s="425">
        <v>57605766.93</v>
      </c>
      <c r="G19" s="425">
        <v>57365146.080000006</v>
      </c>
      <c r="H19" s="425">
        <v>57849718.050000004</v>
      </c>
      <c r="I19" s="425">
        <v>58283135.680000007</v>
      </c>
      <c r="J19" s="425">
        <v>58445621.380000003</v>
      </c>
      <c r="K19" s="425">
        <v>61853151.219999999</v>
      </c>
      <c r="L19" s="425">
        <v>62336136.510000005</v>
      </c>
      <c r="M19" s="425">
        <v>60997234.43</v>
      </c>
      <c r="N19" s="425">
        <v>61388308.460000001</v>
      </c>
      <c r="O19" s="425">
        <v>64030159.579999998</v>
      </c>
      <c r="P19" s="425">
        <v>62996549</v>
      </c>
      <c r="Q19" s="423">
        <f>AVERAGE(D19:P19)</f>
        <v>59740302.631538466</v>
      </c>
    </row>
    <row r="20" spans="1:19">
      <c r="A20" s="416">
        <f t="shared" si="0"/>
        <v>170</v>
      </c>
      <c r="B20" s="424" t="s">
        <v>499</v>
      </c>
      <c r="C20" s="18" t="s">
        <v>496</v>
      </c>
      <c r="D20" s="425">
        <f>+D17</f>
        <v>0</v>
      </c>
      <c r="E20" s="425"/>
      <c r="F20" s="425">
        <v>0</v>
      </c>
      <c r="G20" s="425">
        <v>0</v>
      </c>
      <c r="H20" s="425">
        <v>0</v>
      </c>
      <c r="I20" s="425">
        <v>0</v>
      </c>
      <c r="J20" s="425">
        <v>0</v>
      </c>
      <c r="K20" s="425">
        <v>0</v>
      </c>
      <c r="L20" s="425">
        <v>0</v>
      </c>
      <c r="M20" s="425">
        <v>0</v>
      </c>
      <c r="N20" s="425">
        <v>0</v>
      </c>
      <c r="O20" s="425">
        <v>0</v>
      </c>
      <c r="P20" s="425">
        <v>0</v>
      </c>
      <c r="Q20" s="423">
        <f>AVERAGE(D20:P20)</f>
        <v>0</v>
      </c>
    </row>
    <row r="21" spans="1:19">
      <c r="A21" s="416">
        <f t="shared" si="0"/>
        <v>171</v>
      </c>
      <c r="B21" s="430" t="s">
        <v>500</v>
      </c>
      <c r="C21" s="18" t="s">
        <v>501</v>
      </c>
      <c r="D21" s="425">
        <v>0</v>
      </c>
      <c r="E21" s="425"/>
      <c r="F21" s="425">
        <v>0</v>
      </c>
      <c r="G21" s="425">
        <v>0</v>
      </c>
      <c r="H21" s="425">
        <v>0</v>
      </c>
      <c r="I21" s="425">
        <v>0</v>
      </c>
      <c r="J21" s="425">
        <v>0</v>
      </c>
      <c r="K21" s="425">
        <v>0</v>
      </c>
      <c r="L21" s="425">
        <v>0</v>
      </c>
      <c r="M21" s="425">
        <v>0</v>
      </c>
      <c r="N21" s="425">
        <v>0</v>
      </c>
      <c r="O21" s="425">
        <v>0</v>
      </c>
      <c r="P21" s="425">
        <v>0</v>
      </c>
      <c r="Q21" s="423">
        <f>AVERAGE(D21:P21)</f>
        <v>0</v>
      </c>
      <c r="R21" s="431"/>
    </row>
    <row r="22" spans="1:19" ht="16.2" thickBot="1">
      <c r="A22" s="416">
        <f t="shared" si="0"/>
        <v>172</v>
      </c>
      <c r="B22" s="430" t="s">
        <v>502</v>
      </c>
      <c r="C22" s="18" t="s">
        <v>503</v>
      </c>
      <c r="D22" s="425">
        <v>0</v>
      </c>
      <c r="E22" s="427"/>
      <c r="F22" s="427">
        <v>0</v>
      </c>
      <c r="G22" s="427">
        <v>0</v>
      </c>
      <c r="H22" s="427">
        <v>0</v>
      </c>
      <c r="I22" s="427">
        <v>0</v>
      </c>
      <c r="J22" s="427">
        <v>0</v>
      </c>
      <c r="K22" s="427">
        <v>0</v>
      </c>
      <c r="L22" s="427">
        <v>0</v>
      </c>
      <c r="M22" s="427">
        <v>0</v>
      </c>
      <c r="N22" s="427">
        <v>0</v>
      </c>
      <c r="O22" s="427">
        <v>0</v>
      </c>
      <c r="P22" s="425">
        <v>0</v>
      </c>
      <c r="Q22" s="432">
        <f>AVERAGE(D22:P22)</f>
        <v>0</v>
      </c>
      <c r="R22" s="431"/>
    </row>
    <row r="23" spans="1:19" ht="16.2" thickBot="1">
      <c r="A23" s="416">
        <f t="shared" si="0"/>
        <v>173</v>
      </c>
      <c r="B23" s="20" t="str">
        <f>"Adjusted Common Equity"</f>
        <v>Adjusted Common Equity</v>
      </c>
      <c r="C23" s="18" t="str">
        <f>"Ln "&amp; A19&amp;" - "&amp;A20&amp;" - "&amp;A21&amp;" - "&amp;A22</f>
        <v>Ln 169 - 170 - 171 - 172</v>
      </c>
      <c r="D23" s="422">
        <f t="shared" ref="D23:Q23" si="4">D19-D20-D21-D22</f>
        <v>56426968</v>
      </c>
      <c r="E23" s="422">
        <f t="shared" si="4"/>
        <v>57046038.890000001</v>
      </c>
      <c r="F23" s="422">
        <f t="shared" si="4"/>
        <v>57605766.93</v>
      </c>
      <c r="G23" s="422">
        <f t="shared" si="4"/>
        <v>57365146.080000006</v>
      </c>
      <c r="H23" s="422">
        <f t="shared" si="4"/>
        <v>57849718.050000004</v>
      </c>
      <c r="I23" s="422">
        <f t="shared" si="4"/>
        <v>58283135.680000007</v>
      </c>
      <c r="J23" s="422">
        <f t="shared" si="4"/>
        <v>58445621.380000003</v>
      </c>
      <c r="K23" s="422">
        <f t="shared" si="4"/>
        <v>61853151.219999999</v>
      </c>
      <c r="L23" s="422">
        <f t="shared" si="4"/>
        <v>62336136.510000005</v>
      </c>
      <c r="M23" s="422">
        <f t="shared" si="4"/>
        <v>60997234.43</v>
      </c>
      <c r="N23" s="422">
        <f t="shared" si="4"/>
        <v>61388308.460000001</v>
      </c>
      <c r="O23" s="422">
        <f t="shared" si="4"/>
        <v>64030159.579999998</v>
      </c>
      <c r="P23" s="422">
        <f t="shared" si="4"/>
        <v>62996549</v>
      </c>
      <c r="Q23" s="429">
        <f t="shared" si="4"/>
        <v>59740302.631538466</v>
      </c>
      <c r="R23" s="433"/>
    </row>
    <row r="24" spans="1:19">
      <c r="A24" s="416">
        <f t="shared" si="0"/>
        <v>174</v>
      </c>
      <c r="D24" s="422"/>
      <c r="E24" s="422"/>
      <c r="F24" s="422"/>
      <c r="G24" s="422"/>
      <c r="H24" s="422"/>
      <c r="I24" s="422"/>
      <c r="J24" s="422"/>
      <c r="K24" s="422"/>
      <c r="L24" s="422"/>
      <c r="M24" s="422"/>
      <c r="N24" s="422"/>
      <c r="O24" s="422"/>
      <c r="P24" s="422"/>
      <c r="Q24" s="423"/>
      <c r="R24" s="431"/>
    </row>
    <row r="25" spans="1:19">
      <c r="A25" s="416">
        <f t="shared" si="0"/>
        <v>175</v>
      </c>
      <c r="B25" s="20" t="str">
        <f>"Total (Line "&amp;A15&amp;" plus Line "&amp;A17&amp;" plus Line "&amp;A23&amp;")"</f>
        <v>Total (Line 165 plus Line 167 plus Line 173)</v>
      </c>
      <c r="D25" s="422">
        <f t="shared" ref="D25:Q25" si="5">D15+D17+D23</f>
        <v>94079230</v>
      </c>
      <c r="E25" s="422">
        <f t="shared" si="5"/>
        <v>94698300.920000002</v>
      </c>
      <c r="F25" s="422">
        <f t="shared" si="5"/>
        <v>95258028.960000008</v>
      </c>
      <c r="G25" s="422">
        <f t="shared" si="5"/>
        <v>95711106.770000011</v>
      </c>
      <c r="H25" s="422">
        <f t="shared" si="5"/>
        <v>96195678.74000001</v>
      </c>
      <c r="I25" s="422">
        <f t="shared" si="5"/>
        <v>96629096.370000005</v>
      </c>
      <c r="J25" s="422">
        <f t="shared" si="5"/>
        <v>97429931.920000002</v>
      </c>
      <c r="K25" s="422">
        <f t="shared" si="5"/>
        <v>100837461.75999999</v>
      </c>
      <c r="L25" s="422">
        <f t="shared" si="5"/>
        <v>101320447.05000001</v>
      </c>
      <c r="M25" s="422">
        <f t="shared" si="5"/>
        <v>101669394.28</v>
      </c>
      <c r="N25" s="422">
        <f t="shared" si="5"/>
        <v>102060468.31</v>
      </c>
      <c r="O25" s="422">
        <f t="shared" si="5"/>
        <v>104702319.43000001</v>
      </c>
      <c r="P25" s="422">
        <f t="shared" si="5"/>
        <v>105052896</v>
      </c>
      <c r="Q25" s="423">
        <f t="shared" si="5"/>
        <v>98895720.039230779</v>
      </c>
      <c r="S25" s="434"/>
    </row>
    <row r="26" spans="1:19">
      <c r="A26" s="416">
        <f t="shared" si="0"/>
        <v>176</v>
      </c>
      <c r="D26" s="422"/>
      <c r="E26" s="422"/>
      <c r="F26" s="422"/>
      <c r="G26" s="422"/>
      <c r="H26" s="422"/>
      <c r="I26" s="422"/>
      <c r="J26" s="422"/>
      <c r="K26" s="422"/>
      <c r="L26" s="422"/>
      <c r="M26" s="422"/>
      <c r="N26" s="422"/>
      <c r="O26" s="422"/>
      <c r="P26" s="422"/>
      <c r="Q26" s="423"/>
      <c r="R26" s="431"/>
    </row>
    <row r="27" spans="1:19">
      <c r="A27" s="416">
        <f t="shared" si="0"/>
        <v>177</v>
      </c>
      <c r="B27" s="20" t="s">
        <v>504</v>
      </c>
      <c r="D27" s="422"/>
      <c r="E27" s="435"/>
      <c r="F27" s="436"/>
      <c r="G27" s="436"/>
      <c r="H27" s="436"/>
      <c r="I27" s="436"/>
      <c r="J27" s="436"/>
      <c r="K27" s="436"/>
      <c r="L27" s="436"/>
      <c r="M27" s="436"/>
      <c r="N27" s="436"/>
      <c r="O27" s="436"/>
      <c r="P27" s="436"/>
      <c r="Q27" s="437"/>
      <c r="R27" s="431"/>
    </row>
    <row r="28" spans="1:19">
      <c r="A28" s="416">
        <f t="shared" si="0"/>
        <v>178</v>
      </c>
      <c r="B28" s="430" t="s">
        <v>505</v>
      </c>
      <c r="C28" s="18" t="s">
        <v>506</v>
      </c>
      <c r="D28" s="217"/>
      <c r="E28" s="422"/>
      <c r="F28" s="422"/>
      <c r="G28" s="422"/>
      <c r="H28" s="422"/>
      <c r="I28" s="422"/>
      <c r="J28" s="422"/>
      <c r="K28" s="422"/>
      <c r="L28" s="422"/>
      <c r="M28" s="422"/>
      <c r="N28" s="422"/>
      <c r="O28" s="422"/>
      <c r="P28" s="438">
        <v>1578</v>
      </c>
      <c r="Q28" s="423"/>
      <c r="R28" s="431"/>
    </row>
    <row r="29" spans="1:19">
      <c r="A29" s="416">
        <f t="shared" si="0"/>
        <v>179</v>
      </c>
      <c r="B29" s="430" t="s">
        <v>507</v>
      </c>
      <c r="C29" s="18" t="s">
        <v>508</v>
      </c>
      <c r="D29" s="217"/>
      <c r="E29" s="422"/>
      <c r="F29" s="422"/>
      <c r="G29" s="422"/>
      <c r="H29" s="422"/>
      <c r="I29" s="422"/>
      <c r="J29" s="422"/>
      <c r="K29" s="422"/>
      <c r="L29" s="422"/>
      <c r="M29" s="439"/>
      <c r="N29" s="422"/>
      <c r="O29" s="422"/>
      <c r="P29" s="438">
        <v>0</v>
      </c>
      <c r="Q29" s="423"/>
    </row>
    <row r="30" spans="1:19">
      <c r="A30" s="416">
        <f t="shared" si="0"/>
        <v>180</v>
      </c>
      <c r="B30" s="430" t="s">
        <v>509</v>
      </c>
      <c r="C30" s="18" t="s">
        <v>510</v>
      </c>
      <c r="D30" s="217"/>
      <c r="E30" s="422"/>
      <c r="F30" s="422"/>
      <c r="G30" s="422"/>
      <c r="H30" s="422"/>
      <c r="I30" s="422"/>
      <c r="J30" s="422"/>
      <c r="K30" s="422"/>
      <c r="L30" s="422"/>
      <c r="M30" s="422"/>
      <c r="N30" s="422"/>
      <c r="O30" s="422"/>
      <c r="P30" s="438">
        <v>0</v>
      </c>
      <c r="Q30" s="423"/>
    </row>
    <row r="31" spans="1:19">
      <c r="A31" s="416">
        <f t="shared" si="0"/>
        <v>181</v>
      </c>
      <c r="B31" s="430" t="s">
        <v>511</v>
      </c>
      <c r="C31" s="18" t="s">
        <v>512</v>
      </c>
      <c r="D31" s="217"/>
      <c r="E31" s="422"/>
      <c r="F31" s="422"/>
      <c r="G31" s="422"/>
      <c r="H31" s="422"/>
      <c r="I31" s="422"/>
      <c r="J31" s="422"/>
      <c r="K31" s="422"/>
      <c r="L31" s="422"/>
      <c r="M31" s="422"/>
      <c r="N31" s="422"/>
      <c r="O31" s="422"/>
      <c r="P31" s="438">
        <v>1545234</v>
      </c>
      <c r="Q31" s="423"/>
    </row>
    <row r="32" spans="1:19">
      <c r="A32" s="416">
        <f t="shared" si="0"/>
        <v>182</v>
      </c>
      <c r="B32" s="440" t="s">
        <v>513</v>
      </c>
      <c r="C32" s="18" t="s">
        <v>514</v>
      </c>
      <c r="D32" s="217"/>
      <c r="E32" s="422"/>
      <c r="F32" s="422"/>
      <c r="G32" s="422"/>
      <c r="H32" s="422"/>
      <c r="I32" s="422"/>
      <c r="J32" s="422"/>
      <c r="K32" s="422"/>
      <c r="L32" s="422"/>
      <c r="M32" s="422"/>
      <c r="N32" s="422"/>
      <c r="O32" s="422"/>
      <c r="P32" s="438">
        <v>0</v>
      </c>
      <c r="Q32" s="423"/>
    </row>
    <row r="33" spans="1:17">
      <c r="A33" s="416">
        <f t="shared" si="0"/>
        <v>183</v>
      </c>
      <c r="B33" s="440" t="s">
        <v>515</v>
      </c>
      <c r="C33" s="18" t="s">
        <v>516</v>
      </c>
      <c r="D33" s="217"/>
      <c r="E33" s="422"/>
      <c r="F33" s="422"/>
      <c r="G33" s="422"/>
      <c r="H33" s="422"/>
      <c r="I33" s="422"/>
      <c r="J33" s="422"/>
      <c r="K33" s="422"/>
      <c r="L33" s="422"/>
      <c r="M33" s="422"/>
      <c r="N33" s="422"/>
      <c r="O33" s="422"/>
      <c r="P33" s="441">
        <v>0</v>
      </c>
      <c r="Q33" s="423"/>
    </row>
    <row r="34" spans="1:17">
      <c r="A34" s="416">
        <f>A33+1</f>
        <v>184</v>
      </c>
      <c r="B34" s="430" t="s">
        <v>517</v>
      </c>
      <c r="C34" s="18" t="str">
        <f>"Sum Lines "&amp;A28&amp;" - "&amp;A33</f>
        <v>Sum Lines 178 - 183</v>
      </c>
      <c r="D34" s="422"/>
      <c r="E34" s="422"/>
      <c r="F34" s="422"/>
      <c r="G34" s="422"/>
      <c r="H34" s="422"/>
      <c r="I34" s="422"/>
      <c r="J34" s="422"/>
      <c r="K34" s="422"/>
      <c r="L34" s="422"/>
      <c r="M34" s="422"/>
      <c r="N34" s="422"/>
      <c r="O34" s="422"/>
      <c r="P34" s="422">
        <f>SUM(P28:P33)</f>
        <v>1546812</v>
      </c>
      <c r="Q34" s="423"/>
    </row>
    <row r="35" spans="1:17" ht="16.2" thickBot="1">
      <c r="A35" s="416">
        <f t="shared" si="0"/>
        <v>185</v>
      </c>
      <c r="B35" s="424"/>
      <c r="D35" s="422"/>
      <c r="E35" s="422"/>
      <c r="F35" s="422"/>
      <c r="G35" s="422"/>
      <c r="H35" s="422"/>
      <c r="I35" s="422"/>
      <c r="J35" s="422"/>
      <c r="K35" s="422"/>
      <c r="L35" s="422"/>
      <c r="M35" s="422"/>
      <c r="N35" s="422"/>
      <c r="O35" s="422"/>
      <c r="P35" s="422"/>
      <c r="Q35" s="423"/>
    </row>
    <row r="36" spans="1:17" ht="16.2" thickBot="1">
      <c r="A36" s="416">
        <f t="shared" si="0"/>
        <v>186</v>
      </c>
      <c r="B36" s="424" t="str">
        <f>"Average Cost of Debt (Line "&amp;A34&amp;", col (m) / Line "&amp;A15&amp;", col (n))"</f>
        <v>Average Cost of Debt (Line 184, col (m) / Line 165, col (n))</v>
      </c>
      <c r="D36" s="422"/>
      <c r="E36" s="422"/>
      <c r="F36" s="422"/>
      <c r="G36" s="422"/>
      <c r="H36" s="422"/>
      <c r="I36" s="422"/>
      <c r="J36" s="422"/>
      <c r="K36" s="422"/>
      <c r="L36" s="422"/>
      <c r="M36" s="422"/>
      <c r="N36" s="422"/>
      <c r="O36" s="422"/>
      <c r="P36" s="442">
        <f>IF(Q15=0,0,ROUND(P34/Q15,4))</f>
        <v>3.95E-2</v>
      </c>
      <c r="Q36" s="423"/>
    </row>
    <row r="37" spans="1:17">
      <c r="A37" s="416">
        <f t="shared" si="0"/>
        <v>187</v>
      </c>
      <c r="B37" s="424"/>
      <c r="D37" s="422"/>
      <c r="E37" s="422"/>
      <c r="F37" s="422"/>
      <c r="G37" s="422"/>
      <c r="H37" s="422"/>
      <c r="I37" s="422"/>
      <c r="J37" s="422"/>
      <c r="K37" s="422"/>
      <c r="L37" s="422"/>
      <c r="M37" s="422"/>
      <c r="N37" s="422"/>
      <c r="O37" s="422"/>
      <c r="P37" s="422"/>
      <c r="Q37" s="423"/>
    </row>
    <row r="38" spans="1:17">
      <c r="A38" s="416">
        <f t="shared" si="0"/>
        <v>188</v>
      </c>
      <c r="B38" s="20" t="s">
        <v>518</v>
      </c>
      <c r="D38" s="422"/>
      <c r="E38" s="422"/>
      <c r="F38" s="422"/>
      <c r="G38" s="422"/>
      <c r="H38" s="422"/>
      <c r="I38" s="422"/>
      <c r="J38" s="422"/>
      <c r="K38" s="422"/>
      <c r="L38" s="422"/>
      <c r="M38" s="422"/>
      <c r="N38" s="422"/>
      <c r="O38" s="422"/>
      <c r="P38" s="422"/>
      <c r="Q38" s="423"/>
    </row>
    <row r="39" spans="1:17">
      <c r="A39" s="416">
        <f t="shared" si="0"/>
        <v>189</v>
      </c>
      <c r="B39" s="424" t="s">
        <v>519</v>
      </c>
      <c r="C39" s="18" t="s">
        <v>520</v>
      </c>
      <c r="D39" s="422"/>
      <c r="E39" s="422"/>
      <c r="F39" s="422"/>
      <c r="G39" s="422"/>
      <c r="H39" s="422"/>
      <c r="I39" s="422"/>
      <c r="J39" s="422"/>
      <c r="K39" s="422"/>
      <c r="L39" s="422"/>
      <c r="M39" s="422"/>
      <c r="N39" s="422"/>
      <c r="O39" s="422"/>
      <c r="P39" s="425">
        <v>0</v>
      </c>
      <c r="Q39" s="423"/>
    </row>
    <row r="40" spans="1:17">
      <c r="A40" s="416">
        <f t="shared" si="0"/>
        <v>190</v>
      </c>
      <c r="B40" s="424"/>
      <c r="D40" s="422"/>
      <c r="E40" s="422"/>
      <c r="F40" s="422"/>
      <c r="G40" s="422"/>
      <c r="H40" s="422"/>
      <c r="I40" s="422"/>
      <c r="J40" s="422"/>
      <c r="K40" s="422"/>
      <c r="L40" s="422"/>
      <c r="M40" s="422"/>
      <c r="N40" s="422"/>
      <c r="O40" s="422"/>
      <c r="P40" s="422"/>
      <c r="Q40" s="423"/>
    </row>
    <row r="41" spans="1:17">
      <c r="A41" s="416">
        <f t="shared" si="0"/>
        <v>191</v>
      </c>
      <c r="B41" s="424" t="str">
        <f>"Average Cost of Preferred Stock (Line "&amp;A39&amp;", col (m) / Line "&amp;A17&amp;", col (n))"</f>
        <v>Average Cost of Preferred Stock (Line 189, col (m) / Line 167, col (n))</v>
      </c>
      <c r="D41" s="422"/>
      <c r="E41" s="422"/>
      <c r="F41" s="422"/>
      <c r="G41" s="422"/>
      <c r="H41" s="422"/>
      <c r="I41" s="422"/>
      <c r="J41" s="422"/>
      <c r="K41" s="422"/>
      <c r="L41" s="422"/>
      <c r="M41" s="422"/>
      <c r="N41" s="422"/>
      <c r="O41" s="422"/>
      <c r="P41" s="422">
        <f>IF(P39=0,0,ROUND(P39/Q17,4))</f>
        <v>0</v>
      </c>
      <c r="Q41" s="423"/>
    </row>
    <row r="42" spans="1:17">
      <c r="A42" s="416"/>
      <c r="B42" s="424"/>
      <c r="D42" s="422"/>
      <c r="E42" s="422"/>
      <c r="F42" s="422"/>
      <c r="G42" s="422"/>
      <c r="H42" s="422"/>
      <c r="I42" s="422"/>
      <c r="J42" s="422"/>
      <c r="K42" s="422"/>
      <c r="L42" s="422"/>
      <c r="M42" s="422"/>
      <c r="N42" s="422"/>
      <c r="O42" s="422"/>
      <c r="P42" s="422"/>
      <c r="Q42" s="423"/>
    </row>
    <row r="43" spans="1:17">
      <c r="A43" s="416"/>
      <c r="B43" s="856" t="s">
        <v>521</v>
      </c>
      <c r="C43" s="856"/>
      <c r="D43" s="856"/>
      <c r="E43" s="856"/>
      <c r="F43" s="856"/>
      <c r="G43" s="856"/>
      <c r="H43" s="422"/>
      <c r="I43" s="422"/>
      <c r="J43" s="422"/>
      <c r="K43" s="422"/>
      <c r="L43" s="422"/>
      <c r="M43" s="422"/>
      <c r="N43" s="422"/>
      <c r="O43" s="422"/>
      <c r="P43" s="422"/>
      <c r="Q43" s="423"/>
    </row>
    <row r="44" spans="1:17">
      <c r="A44" s="416"/>
      <c r="B44" s="20" t="s">
        <v>522</v>
      </c>
      <c r="D44" s="422"/>
      <c r="E44" s="422"/>
      <c r="F44" s="422"/>
      <c r="G44" s="422"/>
      <c r="H44" s="422"/>
      <c r="I44" s="422"/>
      <c r="J44" s="422"/>
      <c r="K44" s="422"/>
      <c r="L44" s="422"/>
      <c r="M44" s="422"/>
      <c r="N44" s="422"/>
      <c r="O44" s="422"/>
      <c r="P44" s="422"/>
      <c r="Q44" s="423"/>
    </row>
    <row r="45" spans="1:17" ht="16.2" thickBot="1">
      <c r="A45" s="443"/>
      <c r="B45" s="282"/>
      <c r="C45" s="282"/>
      <c r="D45" s="444"/>
      <c r="E45" s="444"/>
      <c r="F45" s="444"/>
      <c r="G45" s="444"/>
      <c r="H45" s="444"/>
      <c r="I45" s="444"/>
      <c r="J45" s="444"/>
      <c r="K45" s="444"/>
      <c r="L45" s="444"/>
      <c r="M45" s="444"/>
      <c r="N45" s="444"/>
      <c r="O45" s="444"/>
      <c r="P45" s="444"/>
      <c r="Q45" s="445"/>
    </row>
    <row r="46" spans="1:17">
      <c r="D46" s="28"/>
      <c r="E46" s="28"/>
      <c r="F46" s="28"/>
      <c r="G46" s="28"/>
      <c r="H46" s="28"/>
      <c r="I46" s="28"/>
      <c r="J46" s="28"/>
      <c r="K46" s="28"/>
      <c r="L46" s="28"/>
      <c r="M46" s="28"/>
      <c r="N46" s="28"/>
      <c r="O46" s="28"/>
      <c r="P46" s="28"/>
      <c r="Q46" s="28"/>
    </row>
  </sheetData>
  <mergeCells count="3">
    <mergeCell ref="A4:F4"/>
    <mergeCell ref="H4:M4"/>
    <mergeCell ref="B43:G43"/>
  </mergeCells>
  <pageMargins left="0.7" right="0.7" top="0.75" bottom="0.75" header="0.3" footer="0.3"/>
  <pageSetup scale="43"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FAAD6-D912-4741-8984-62238EC269FB}">
  <sheetPr>
    <tabColor rgb="FF92D050"/>
  </sheetPr>
  <dimension ref="A1:L57"/>
  <sheetViews>
    <sheetView view="pageBreakPreview" topLeftCell="A18" zoomScale="80" zoomScaleNormal="100" zoomScaleSheetLayoutView="80" workbookViewId="0">
      <selection activeCell="E43" sqref="E43"/>
    </sheetView>
  </sheetViews>
  <sheetFormatPr defaultRowHeight="15"/>
  <cols>
    <col min="2" max="2" width="23.54296875" customWidth="1"/>
    <col min="3" max="3" width="43.90625" customWidth="1"/>
    <col min="4" max="4" width="11.1796875" bestFit="1" customWidth="1"/>
    <col min="9" max="9" width="10.90625" bestFit="1" customWidth="1"/>
    <col min="10" max="10" width="15.453125" customWidth="1"/>
  </cols>
  <sheetData>
    <row r="1" spans="1:10" ht="15.75" customHeight="1">
      <c r="A1" s="919" t="s">
        <v>523</v>
      </c>
      <c r="B1" s="919"/>
      <c r="C1" s="919"/>
      <c r="D1" s="919"/>
      <c r="E1" s="919"/>
      <c r="F1" s="919"/>
      <c r="G1" s="919"/>
      <c r="H1" s="919"/>
      <c r="I1" s="919"/>
      <c r="J1" s="919"/>
    </row>
    <row r="2" spans="1:10" ht="15.6">
      <c r="A2" s="920"/>
      <c r="B2" s="920"/>
      <c r="C2" s="920"/>
      <c r="D2" s="920"/>
      <c r="E2" s="920"/>
      <c r="F2" s="920"/>
      <c r="G2" s="920"/>
      <c r="H2" s="920"/>
      <c r="I2" s="920"/>
      <c r="J2" s="920"/>
    </row>
    <row r="3" spans="1:10" ht="15.6">
      <c r="A3" s="921" t="s">
        <v>524</v>
      </c>
      <c r="B3" s="865"/>
      <c r="C3" s="865"/>
      <c r="D3" s="865"/>
      <c r="E3" s="865"/>
      <c r="F3" s="865"/>
      <c r="G3" s="865"/>
      <c r="H3" s="865"/>
      <c r="I3" s="865"/>
      <c r="J3" s="865"/>
    </row>
    <row r="4" spans="1:10" ht="15.6">
      <c r="A4" s="32"/>
      <c r="B4" s="446"/>
      <c r="C4" s="446"/>
      <c r="D4" s="446"/>
      <c r="E4" s="446"/>
      <c r="F4" s="446"/>
      <c r="G4" s="446"/>
      <c r="H4" s="446"/>
      <c r="I4" s="446"/>
      <c r="J4" s="446"/>
    </row>
    <row r="5" spans="1:10" ht="15.6">
      <c r="A5" s="32"/>
      <c r="B5" s="446"/>
      <c r="C5" s="446"/>
      <c r="D5" s="446"/>
      <c r="E5" s="446"/>
      <c r="F5" s="447"/>
      <c r="G5" s="446"/>
      <c r="H5" s="446"/>
      <c r="I5" s="446"/>
      <c r="J5" s="446"/>
    </row>
    <row r="6" spans="1:10" ht="15.6">
      <c r="A6" s="448" t="s">
        <v>525</v>
      </c>
      <c r="B6" s="446"/>
      <c r="C6" s="446"/>
    </row>
    <row r="7" spans="1:10" ht="15.6">
      <c r="A7" s="32"/>
      <c r="B7" s="449" t="s">
        <v>186</v>
      </c>
      <c r="C7" s="449" t="s">
        <v>188</v>
      </c>
      <c r="D7" s="450" t="s">
        <v>190</v>
      </c>
      <c r="E7" s="449" t="s">
        <v>193</v>
      </c>
      <c r="F7" s="449" t="s">
        <v>196</v>
      </c>
      <c r="G7" s="449" t="s">
        <v>198</v>
      </c>
      <c r="H7" s="449" t="s">
        <v>207</v>
      </c>
      <c r="I7" s="19" t="s">
        <v>209</v>
      </c>
      <c r="J7" s="451" t="s">
        <v>211</v>
      </c>
    </row>
    <row r="8" spans="1:10" ht="15.6">
      <c r="A8" s="32">
        <v>1</v>
      </c>
      <c r="B8" s="20" t="s">
        <v>526</v>
      </c>
      <c r="C8" s="20" t="s">
        <v>527</v>
      </c>
      <c r="D8" s="20"/>
      <c r="E8" s="20"/>
      <c r="F8" s="20"/>
      <c r="G8" s="20"/>
      <c r="H8" s="20"/>
      <c r="I8" s="20"/>
      <c r="J8" s="32">
        <f>+'Appendix III'!J97</f>
        <v>78443007.532362029</v>
      </c>
    </row>
    <row r="9" spans="1:10" ht="15.6">
      <c r="A9" s="32"/>
      <c r="B9" s="20"/>
      <c r="C9" s="20"/>
      <c r="D9" s="20"/>
      <c r="E9" s="20"/>
      <c r="F9" s="20"/>
      <c r="G9" s="20"/>
      <c r="H9" s="20"/>
      <c r="I9" s="20"/>
      <c r="J9" s="32"/>
    </row>
    <row r="10" spans="1:10" ht="16.2" thickBot="1">
      <c r="A10" s="75">
        <f>+A8+1</f>
        <v>2</v>
      </c>
      <c r="B10" s="452" t="s">
        <v>528</v>
      </c>
      <c r="C10" s="453"/>
      <c r="D10" s="453"/>
      <c r="E10" s="453"/>
      <c r="F10" s="453"/>
      <c r="G10" s="453"/>
      <c r="H10" s="453"/>
      <c r="I10" s="454" t="s">
        <v>157</v>
      </c>
      <c r="J10" s="32"/>
    </row>
    <row r="11" spans="1:10" ht="15.6">
      <c r="A11" s="75"/>
      <c r="B11" s="455"/>
      <c r="C11" s="453"/>
      <c r="D11" s="453"/>
      <c r="E11" s="453"/>
      <c r="F11" s="453"/>
      <c r="G11" s="456" t="s">
        <v>166</v>
      </c>
      <c r="H11" s="453"/>
      <c r="I11" s="453"/>
      <c r="J11" s="32"/>
    </row>
    <row r="12" spans="1:10" ht="16.2" thickBot="1">
      <c r="A12" s="75"/>
      <c r="B12" s="20"/>
      <c r="C12" s="455"/>
      <c r="D12" s="457" t="s">
        <v>157</v>
      </c>
      <c r="E12" s="457" t="s">
        <v>165</v>
      </c>
      <c r="F12" s="453"/>
      <c r="G12" s="457" t="s">
        <v>0</v>
      </c>
      <c r="H12" s="453"/>
      <c r="I12" s="457" t="s">
        <v>167</v>
      </c>
      <c r="J12" s="32"/>
    </row>
    <row r="13" spans="1:10" ht="15.6">
      <c r="A13" s="75">
        <f>+A10+1</f>
        <v>3</v>
      </c>
      <c r="B13" s="452" t="s">
        <v>529</v>
      </c>
      <c r="C13" s="455" t="s">
        <v>530</v>
      </c>
      <c r="D13" s="458">
        <f>+'Appendix III'!E187</f>
        <v>39155417.407692313</v>
      </c>
      <c r="E13" s="112">
        <f>+'Appendix III'!F187</f>
        <v>0.3959263089662507</v>
      </c>
      <c r="F13" s="459"/>
      <c r="G13" s="120">
        <f>+'Appendix III'!H187</f>
        <v>3.95E-2</v>
      </c>
      <c r="H13" s="460"/>
      <c r="I13" s="31">
        <f>E13*G13</f>
        <v>1.5639089204166904E-2</v>
      </c>
      <c r="J13" s="32"/>
    </row>
    <row r="14" spans="1:10" ht="15.6">
      <c r="A14" s="75">
        <f>+A13+1</f>
        <v>4</v>
      </c>
      <c r="B14" s="452" t="s">
        <v>531</v>
      </c>
      <c r="C14" s="455" t="s">
        <v>532</v>
      </c>
      <c r="D14" s="458">
        <f>+'Appendix III'!E188</f>
        <v>0</v>
      </c>
      <c r="E14" s="112">
        <f>+'Appendix III'!F188</f>
        <v>0</v>
      </c>
      <c r="F14" s="459"/>
      <c r="G14" s="120">
        <f>+'Appendix III'!H188</f>
        <v>0</v>
      </c>
      <c r="H14" s="460"/>
      <c r="I14" s="31">
        <f>E14*G14</f>
        <v>0</v>
      </c>
      <c r="J14" s="32"/>
    </row>
    <row r="15" spans="1:10" ht="16.2" thickBot="1">
      <c r="A15" s="75">
        <f>+A14+1</f>
        <v>5</v>
      </c>
      <c r="B15" s="452" t="s">
        <v>533</v>
      </c>
      <c r="C15" s="460"/>
      <c r="D15" s="461">
        <f>+'Appendix III'!E189</f>
        <v>59740302.631538466</v>
      </c>
      <c r="E15" s="112">
        <f>+'Appendix III'!F189</f>
        <v>0.6040736910337493</v>
      </c>
      <c r="F15" s="459"/>
      <c r="G15" s="120">
        <f>+'Appendix III'!H189+0.01</f>
        <v>0.11199999999999999</v>
      </c>
      <c r="H15" s="460"/>
      <c r="I15" s="462">
        <f>E15*G15</f>
        <v>6.7656253395779908E-2</v>
      </c>
      <c r="J15" s="32"/>
    </row>
    <row r="16" spans="1:10" ht="15.6">
      <c r="A16" s="75">
        <f>+A15+1</f>
        <v>6</v>
      </c>
      <c r="B16" s="455" t="s">
        <v>534</v>
      </c>
      <c r="C16" s="460"/>
      <c r="D16" s="458">
        <f>SUM(D13:D15)</f>
        <v>98895720.039230779</v>
      </c>
      <c r="E16" s="453" t="s">
        <v>3</v>
      </c>
      <c r="F16" s="453"/>
      <c r="G16" s="453"/>
      <c r="H16" s="453"/>
      <c r="I16" s="31">
        <f>SUM(I13:I15)</f>
        <v>8.3295342599946809E-2</v>
      </c>
      <c r="J16" s="32"/>
    </row>
    <row r="17" spans="1:12" ht="15.6">
      <c r="A17" s="75">
        <f t="shared" ref="A17:A39" si="0">+A16+1</f>
        <v>7</v>
      </c>
      <c r="B17" s="455" t="s">
        <v>535</v>
      </c>
      <c r="C17" s="460"/>
      <c r="D17" s="458"/>
      <c r="E17" s="453"/>
      <c r="F17" s="453"/>
      <c r="G17" s="453"/>
      <c r="H17" s="453"/>
      <c r="I17" s="459"/>
      <c r="J17" s="32">
        <f>+I16*J8</f>
        <v>6533937.1869783029</v>
      </c>
    </row>
    <row r="18" spans="1:12" ht="15.6">
      <c r="A18" s="75"/>
      <c r="B18" s="20"/>
      <c r="C18" s="20"/>
      <c r="D18" s="20"/>
      <c r="E18" s="20"/>
      <c r="F18" s="20"/>
      <c r="G18" s="20"/>
      <c r="H18" s="20"/>
      <c r="I18" s="20"/>
      <c r="J18" s="32"/>
    </row>
    <row r="19" spans="1:12" ht="15.6">
      <c r="A19" s="75">
        <f>+A17+1</f>
        <v>8</v>
      </c>
      <c r="B19" s="455" t="s">
        <v>136</v>
      </c>
      <c r="C19" s="453"/>
      <c r="D19" s="453"/>
      <c r="E19" s="453"/>
      <c r="F19" s="460"/>
      <c r="G19" s="463"/>
      <c r="H19" s="453"/>
      <c r="I19" s="460"/>
      <c r="J19" s="32"/>
    </row>
    <row r="20" spans="1:12" ht="15.6">
      <c r="A20" s="75">
        <f t="shared" si="0"/>
        <v>9</v>
      </c>
      <c r="B20" s="87" t="s">
        <v>137</v>
      </c>
      <c r="C20" s="8"/>
      <c r="D20" s="86">
        <f>+'Appendix III'!E137</f>
        <v>0.27983599999999997</v>
      </c>
      <c r="E20" s="453"/>
      <c r="F20" s="460"/>
      <c r="G20" s="463"/>
      <c r="H20" s="453"/>
      <c r="I20" s="460"/>
      <c r="J20" s="32"/>
    </row>
    <row r="21" spans="1:12" ht="15.6">
      <c r="A21" s="75">
        <f t="shared" si="0"/>
        <v>10</v>
      </c>
      <c r="B21" s="1" t="s">
        <v>138</v>
      </c>
      <c r="C21" s="8"/>
      <c r="D21" s="86">
        <f>IF(I16&gt;0,(D20/(1-D20))*(1-I13/I16),0)</f>
        <v>0.31561628374835882</v>
      </c>
      <c r="E21" s="453"/>
      <c r="F21" s="460"/>
      <c r="G21" s="463"/>
      <c r="H21" s="453"/>
      <c r="I21" s="460"/>
      <c r="J21" s="32"/>
    </row>
    <row r="22" spans="1:12" ht="15.6">
      <c r="A22" s="75">
        <f t="shared" si="0"/>
        <v>11</v>
      </c>
      <c r="B22" s="1" t="str">
        <f>"       where WCLTD=(line "&amp;A13&amp;") and R= (line "&amp;A16&amp;")"</f>
        <v xml:space="preserve">       where WCLTD=(line 3) and R= (line 6)</v>
      </c>
      <c r="C22" s="8"/>
      <c r="D22" s="8"/>
      <c r="E22" s="453"/>
      <c r="F22" s="460"/>
      <c r="G22" s="463"/>
      <c r="H22" s="453"/>
      <c r="I22" s="460"/>
      <c r="J22" s="32"/>
    </row>
    <row r="23" spans="1:12" ht="15.6">
      <c r="A23" s="75">
        <f t="shared" si="0"/>
        <v>12</v>
      </c>
      <c r="B23" s="1" t="str">
        <f>"       and FIT, SIT &amp; p are as given in footnote "&amp;'Appendix III'!A228&amp;" on Appendix III."</f>
        <v xml:space="preserve">       and FIT, SIT &amp; p are as given in footnote F on Appendix III.</v>
      </c>
      <c r="C23" s="8"/>
      <c r="D23" s="8"/>
      <c r="E23" s="453"/>
      <c r="F23" s="460"/>
      <c r="G23" s="463"/>
      <c r="H23" s="453"/>
      <c r="I23" s="460"/>
      <c r="J23" s="32"/>
    </row>
    <row r="24" spans="1:12" ht="15.6">
      <c r="A24" s="75">
        <f t="shared" si="0"/>
        <v>13</v>
      </c>
      <c r="B24" s="87" t="str">
        <f>"      1 / (1 - T)  = (T from line "&amp;A20&amp;")"</f>
        <v xml:space="preserve">      1 / (1 - T)  = (T from line 9)</v>
      </c>
      <c r="C24" s="8"/>
      <c r="D24" s="86">
        <f>IF(D20&gt;0,1/(1-D20),0)</f>
        <v>1.3885726029071155</v>
      </c>
      <c r="E24" s="453"/>
      <c r="F24" s="460"/>
      <c r="G24" s="463"/>
      <c r="H24" s="453"/>
      <c r="I24" s="460"/>
      <c r="J24" s="32"/>
    </row>
    <row r="25" spans="1:12" ht="15.6">
      <c r="A25" s="75">
        <f t="shared" si="0"/>
        <v>14</v>
      </c>
      <c r="B25" s="1" t="s">
        <v>536</v>
      </c>
      <c r="C25" s="8"/>
      <c r="D25" s="50">
        <f>+'Appendix III'!E142</f>
        <v>0</v>
      </c>
      <c r="E25" s="453"/>
      <c r="F25" s="460"/>
      <c r="G25" s="463"/>
      <c r="H25" s="453"/>
      <c r="I25" s="460"/>
      <c r="J25" s="32"/>
    </row>
    <row r="26" spans="1:12" ht="15.6">
      <c r="A26" s="75">
        <f t="shared" si="0"/>
        <v>15</v>
      </c>
      <c r="B26" s="1"/>
      <c r="C26" s="8"/>
      <c r="D26" s="32"/>
      <c r="E26" s="453"/>
      <c r="F26" s="460"/>
      <c r="G26" s="90"/>
      <c r="H26" s="453"/>
      <c r="I26" s="460"/>
      <c r="J26" s="32"/>
    </row>
    <row r="27" spans="1:12" ht="15.6">
      <c r="A27" s="75">
        <f t="shared" si="0"/>
        <v>16</v>
      </c>
      <c r="B27" s="87" t="str">
        <f>"Income Tax Calculation = line "&amp;A21&amp;" * line "&amp;A17&amp;""</f>
        <v>Income Tax Calculation = line 10 * line 7</v>
      </c>
      <c r="C27" s="89"/>
      <c r="D27" s="50">
        <f>+J17*D21</f>
        <v>2062216.9731992974</v>
      </c>
      <c r="E27" s="453"/>
      <c r="F27" s="464"/>
      <c r="G27" s="465"/>
      <c r="H27" s="464"/>
      <c r="I27" s="32">
        <f>+J17*D21</f>
        <v>2062216.9731992974</v>
      </c>
      <c r="J27" s="32"/>
    </row>
    <row r="28" spans="1:12" ht="15.6">
      <c r="A28" s="75">
        <f t="shared" si="0"/>
        <v>17</v>
      </c>
      <c r="B28" s="62" t="str">
        <f>"ITC adjustment (line "&amp;A24&amp;" * line "&amp;A25&amp;") and line 17 allocated on NP allocator"</f>
        <v>ITC adjustment (line 13 * line 14) and line 17 allocated on NP allocator</v>
      </c>
      <c r="C28" s="466"/>
      <c r="D28" s="66">
        <f>+D24*D25</f>
        <v>0</v>
      </c>
      <c r="E28" s="464"/>
      <c r="F28" s="467" t="s">
        <v>83</v>
      </c>
      <c r="G28" s="112">
        <f>+'Appendix III'!H78</f>
        <v>1</v>
      </c>
      <c r="H28" s="464"/>
      <c r="I28" s="90">
        <f>G28*D28</f>
        <v>0</v>
      </c>
      <c r="J28" s="32"/>
    </row>
    <row r="29" spans="1:12" ht="15.6">
      <c r="A29" s="75">
        <f t="shared" si="0"/>
        <v>18</v>
      </c>
      <c r="B29" s="100" t="s">
        <v>145</v>
      </c>
      <c r="C29" s="1" t="str">
        <f>"(line "&amp;A27&amp;" plus line "&amp;A28&amp;")"</f>
        <v>(line 16 plus line 17)</v>
      </c>
      <c r="D29" s="468">
        <f>+D28+D27</f>
        <v>2062216.9731992974</v>
      </c>
      <c r="E29" s="464"/>
      <c r="F29" s="20"/>
      <c r="G29" s="20"/>
      <c r="H29" s="20"/>
      <c r="I29" s="20"/>
      <c r="J29" s="32">
        <f>+I28+I27</f>
        <v>2062216.9731992974</v>
      </c>
    </row>
    <row r="30" spans="1:12" ht="6.75" customHeight="1">
      <c r="A30" s="75"/>
      <c r="B30" s="460"/>
      <c r="C30" s="469"/>
      <c r="D30" s="101"/>
      <c r="E30" s="464"/>
      <c r="F30" s="467"/>
      <c r="G30" s="112"/>
      <c r="H30" s="464"/>
      <c r="I30" s="101"/>
      <c r="J30" s="32"/>
    </row>
    <row r="31" spans="1:12" ht="0.75" hidden="1" customHeight="1">
      <c r="A31" s="75"/>
      <c r="B31" s="20"/>
      <c r="C31" s="20"/>
      <c r="D31" s="20"/>
      <c r="E31" s="20"/>
      <c r="F31" s="20"/>
      <c r="G31" s="20"/>
      <c r="H31" s="20"/>
      <c r="I31" s="20"/>
      <c r="J31" s="32"/>
      <c r="K31" s="470"/>
      <c r="L31" s="470"/>
    </row>
    <row r="32" spans="1:12" ht="15.6">
      <c r="A32" s="75">
        <f>+A29+1</f>
        <v>19</v>
      </c>
      <c r="B32" s="460" t="s">
        <v>537</v>
      </c>
      <c r="C32" s="20"/>
      <c r="D32" s="20"/>
      <c r="E32" s="20" t="s">
        <v>538</v>
      </c>
      <c r="F32" s="20"/>
      <c r="G32" s="20"/>
      <c r="H32" s="20"/>
      <c r="I32" s="20"/>
      <c r="J32" s="32">
        <f>+J29+J17</f>
        <v>8596154.1601775996</v>
      </c>
      <c r="K32" s="470"/>
      <c r="L32" s="470"/>
    </row>
    <row r="33" spans="1:12" ht="4.5" customHeight="1">
      <c r="A33" s="471"/>
      <c r="B33" s="20"/>
      <c r="C33" s="20"/>
      <c r="D33" s="20"/>
      <c r="E33" s="20"/>
      <c r="F33" s="20"/>
      <c r="G33" s="20"/>
      <c r="H33" s="20"/>
      <c r="I33" s="20"/>
      <c r="J33" s="32"/>
      <c r="K33" s="470"/>
      <c r="L33" s="470"/>
    </row>
    <row r="34" spans="1:12" ht="15.6">
      <c r="A34" s="471">
        <f>+A32+1</f>
        <v>20</v>
      </c>
      <c r="B34" s="20" t="str">
        <f>"Return    (Appendix III line "&amp;'Appendix III'!A151&amp;" col 5)"</f>
        <v>Return    (Appendix III line 64 col 5)</v>
      </c>
      <c r="C34" s="20"/>
      <c r="D34" s="20"/>
      <c r="E34" s="20"/>
      <c r="F34" s="20"/>
      <c r="G34" s="20"/>
      <c r="H34" s="20"/>
      <c r="I34" s="20"/>
      <c r="J34" s="32">
        <f>+'Appendix III'!J151</f>
        <v>6060083.616019683</v>
      </c>
      <c r="K34" s="470"/>
      <c r="L34" s="470"/>
    </row>
    <row r="35" spans="1:12" ht="15.6">
      <c r="A35" s="471">
        <f t="shared" si="0"/>
        <v>21</v>
      </c>
      <c r="B35" s="20" t="str">
        <f>"Income Tax    (Appendix III line "&amp;'Appendix III'!A148&amp;" col 5)"</f>
        <v>Income Tax    (Appendix III line 62 col 5)</v>
      </c>
      <c r="C35" s="20"/>
      <c r="D35" s="20"/>
      <c r="E35" s="20"/>
      <c r="F35" s="20"/>
      <c r="G35" s="20"/>
      <c r="H35" s="20"/>
      <c r="I35" s="20"/>
      <c r="J35" s="32">
        <f>+'Appendix III'!J148</f>
        <v>2075717.3178558252</v>
      </c>
      <c r="K35" s="470"/>
      <c r="L35" s="470"/>
    </row>
    <row r="36" spans="1:12" ht="15.6">
      <c r="A36" s="471">
        <f t="shared" si="0"/>
        <v>22</v>
      </c>
      <c r="B36" s="460" t="s">
        <v>539</v>
      </c>
      <c r="C36" s="20"/>
      <c r="D36" s="20"/>
      <c r="E36" s="20" t="s">
        <v>540</v>
      </c>
      <c r="F36" s="20"/>
      <c r="G36" s="20"/>
      <c r="H36" s="20"/>
      <c r="I36" s="20"/>
      <c r="J36" s="66">
        <f>+J34+J35</f>
        <v>8135800.9338755086</v>
      </c>
      <c r="K36" s="470"/>
      <c r="L36" s="470"/>
    </row>
    <row r="37" spans="1:12" ht="15.6">
      <c r="A37" s="471">
        <f t="shared" si="0"/>
        <v>23</v>
      </c>
      <c r="B37" s="460" t="s">
        <v>541</v>
      </c>
      <c r="C37" s="20"/>
      <c r="D37" s="20"/>
      <c r="E37" s="20" t="s">
        <v>542</v>
      </c>
      <c r="F37" s="20"/>
      <c r="G37" s="20"/>
      <c r="H37" s="20"/>
      <c r="I37" s="20"/>
      <c r="J37" s="32">
        <f>+J32-J36</f>
        <v>460353.22630209103</v>
      </c>
      <c r="K37" s="470"/>
      <c r="L37" s="470"/>
    </row>
    <row r="38" spans="1:12" ht="15.6">
      <c r="A38" s="471">
        <f t="shared" si="0"/>
        <v>24</v>
      </c>
      <c r="B38" s="20" t="s">
        <v>543</v>
      </c>
      <c r="C38" s="20"/>
      <c r="D38" s="20"/>
      <c r="E38" s="20" t="str">
        <f>"Appendix III, line "&amp;'Appendix III'!A$199&amp;"(a)"</f>
        <v>Appendix III, line 88(a)</v>
      </c>
      <c r="F38" s="20"/>
      <c r="G38" s="20"/>
      <c r="H38" s="20"/>
      <c r="I38" s="20"/>
      <c r="J38" s="32">
        <f>+'Appendix III'!H199</f>
        <v>80454151.794317588</v>
      </c>
      <c r="K38" s="470"/>
      <c r="L38" s="470"/>
    </row>
    <row r="39" spans="1:12" ht="15.6">
      <c r="A39" s="471">
        <f t="shared" si="0"/>
        <v>25</v>
      </c>
      <c r="B39" s="20" t="s">
        <v>544</v>
      </c>
      <c r="C39" s="20"/>
      <c r="D39" s="20"/>
      <c r="E39" s="20" t="s">
        <v>545</v>
      </c>
      <c r="F39" s="20"/>
      <c r="G39" s="20"/>
      <c r="H39" s="20"/>
      <c r="I39" s="20"/>
      <c r="J39" s="31">
        <f>IF(J38=0,0,J37/J38)</f>
        <v>5.7219325048506126E-3</v>
      </c>
      <c r="K39" s="470"/>
      <c r="L39" s="470"/>
    </row>
    <row r="40" spans="1:12" ht="15.6">
      <c r="A40" s="20"/>
      <c r="B40" s="20"/>
      <c r="C40" s="20"/>
      <c r="D40" s="20"/>
      <c r="E40" s="20"/>
      <c r="F40" s="20"/>
      <c r="G40" s="20"/>
      <c r="H40" s="20"/>
      <c r="I40" s="20"/>
      <c r="J40" s="32"/>
      <c r="K40" s="470"/>
      <c r="L40" s="470"/>
    </row>
    <row r="41" spans="1:12" ht="15.6">
      <c r="A41" s="472" t="s">
        <v>546</v>
      </c>
      <c r="B41" s="20"/>
      <c r="C41" s="20"/>
      <c r="D41" s="20"/>
      <c r="E41" s="20"/>
      <c r="F41" s="20"/>
      <c r="G41" s="20"/>
      <c r="H41" s="20"/>
      <c r="I41" s="20"/>
      <c r="J41" s="20"/>
      <c r="K41" s="470"/>
      <c r="L41" s="470"/>
    </row>
    <row r="42" spans="1:12" ht="15.6">
      <c r="A42" s="472" t="s">
        <v>547</v>
      </c>
      <c r="B42" s="20"/>
      <c r="C42" s="20"/>
      <c r="D42" s="20"/>
      <c r="E42" s="20"/>
      <c r="F42" s="20"/>
      <c r="G42" s="20"/>
      <c r="H42" s="20"/>
      <c r="I42" s="20"/>
      <c r="J42" s="20"/>
      <c r="K42" s="470"/>
      <c r="L42" s="470"/>
    </row>
    <row r="43" spans="1:12" ht="15.6">
      <c r="A43" s="472" t="s">
        <v>548</v>
      </c>
      <c r="B43" s="20"/>
      <c r="C43" s="20"/>
      <c r="D43" s="20"/>
      <c r="E43" s="20"/>
      <c r="F43" s="20"/>
      <c r="G43" s="20"/>
      <c r="H43" s="20"/>
      <c r="I43" s="20"/>
      <c r="J43" s="20"/>
      <c r="K43" s="470"/>
      <c r="L43" s="470"/>
    </row>
    <row r="44" spans="1:12" ht="15.6">
      <c r="A44" s="472" t="s">
        <v>549</v>
      </c>
      <c r="B44" s="20"/>
      <c r="C44" s="20"/>
      <c r="D44" s="20"/>
      <c r="E44" s="20"/>
      <c r="F44" s="20"/>
      <c r="G44" s="20"/>
      <c r="H44" s="20"/>
      <c r="I44" s="20"/>
      <c r="J44" s="20"/>
      <c r="K44" s="470"/>
      <c r="L44" s="470"/>
    </row>
    <row r="45" spans="1:12" ht="15.6">
      <c r="A45" s="472"/>
      <c r="B45" s="20"/>
      <c r="C45" s="20"/>
      <c r="D45" s="20"/>
      <c r="E45" s="20"/>
      <c r="F45" s="20"/>
      <c r="G45" s="20"/>
      <c r="H45" s="20"/>
      <c r="I45" s="20"/>
      <c r="J45" s="20"/>
      <c r="K45" s="470"/>
      <c r="L45" s="470"/>
    </row>
    <row r="46" spans="1:12" ht="15.6">
      <c r="A46" s="20"/>
      <c r="B46" s="20" t="s">
        <v>550</v>
      </c>
      <c r="C46" s="20"/>
      <c r="D46" s="20"/>
      <c r="E46" s="20"/>
      <c r="F46" s="20"/>
      <c r="G46" s="20"/>
      <c r="H46" s="20"/>
      <c r="I46" s="20"/>
      <c r="J46" s="20"/>
    </row>
    <row r="47" spans="1:12" ht="15.6">
      <c r="A47" s="20"/>
      <c r="B47" s="473" t="s">
        <v>551</v>
      </c>
      <c r="C47" s="473" t="s">
        <v>446</v>
      </c>
      <c r="D47" s="20"/>
      <c r="E47" s="20"/>
      <c r="F47" s="20"/>
      <c r="G47" s="20"/>
      <c r="H47" s="20"/>
      <c r="I47" s="20"/>
      <c r="J47" s="20"/>
    </row>
    <row r="48" spans="1:12" ht="15.6">
      <c r="A48" s="20"/>
      <c r="B48" s="474"/>
      <c r="C48" s="474"/>
      <c r="D48" s="20"/>
      <c r="E48" s="20"/>
      <c r="F48" s="20"/>
      <c r="G48" s="20"/>
      <c r="H48" s="20"/>
      <c r="I48" s="20"/>
      <c r="J48" s="20"/>
    </row>
    <row r="49" spans="1:10" ht="15.6">
      <c r="A49" s="20"/>
      <c r="B49" s="474"/>
      <c r="C49" s="474"/>
      <c r="D49" s="20"/>
      <c r="E49" s="20"/>
      <c r="F49" s="20"/>
      <c r="G49" s="20"/>
      <c r="H49" s="20"/>
      <c r="I49" s="20"/>
      <c r="J49" s="20"/>
    </row>
    <row r="50" spans="1:10" ht="15.6">
      <c r="A50" s="20"/>
      <c r="B50" s="474"/>
      <c r="C50" s="474"/>
      <c r="D50" s="20"/>
      <c r="E50" s="20"/>
      <c r="F50" s="20"/>
      <c r="G50" s="20"/>
      <c r="H50" s="20"/>
      <c r="I50" s="20"/>
      <c r="J50" s="20"/>
    </row>
    <row r="51" spans="1:10" ht="15.6">
      <c r="A51" s="20"/>
      <c r="B51" s="20"/>
      <c r="C51" s="20"/>
      <c r="D51" s="20"/>
      <c r="E51" s="20"/>
      <c r="F51" s="20"/>
      <c r="G51" s="20"/>
      <c r="H51" s="20"/>
      <c r="I51" s="20"/>
      <c r="J51" s="20"/>
    </row>
    <row r="52" spans="1:10" ht="15.6">
      <c r="A52" s="20"/>
      <c r="B52" s="20"/>
      <c r="C52" s="20"/>
      <c r="D52" s="20"/>
      <c r="E52" s="20"/>
      <c r="F52" s="20"/>
      <c r="G52" s="20"/>
      <c r="H52" s="20"/>
      <c r="I52" s="20"/>
      <c r="J52" s="20"/>
    </row>
    <row r="53" spans="1:10" ht="15.6">
      <c r="A53" s="20"/>
      <c r="B53" s="20"/>
      <c r="C53" s="20"/>
      <c r="D53" s="20"/>
      <c r="E53" s="20"/>
      <c r="F53" s="20"/>
      <c r="G53" s="20"/>
      <c r="H53" s="20"/>
      <c r="I53" s="20"/>
      <c r="J53" s="20"/>
    </row>
    <row r="54" spans="1:10" ht="15.6">
      <c r="A54" s="20"/>
      <c r="B54" s="20"/>
      <c r="C54" s="20"/>
      <c r="D54" s="20"/>
      <c r="E54" s="20"/>
      <c r="F54" s="20"/>
      <c r="G54" s="20"/>
      <c r="H54" s="20"/>
      <c r="I54" s="20"/>
      <c r="J54" s="20"/>
    </row>
    <row r="55" spans="1:10" ht="15.6">
      <c r="A55" s="20"/>
      <c r="B55" s="20"/>
      <c r="C55" s="20"/>
      <c r="D55" s="20"/>
      <c r="E55" s="20"/>
      <c r="F55" s="20"/>
      <c r="G55" s="20"/>
      <c r="H55" s="20"/>
      <c r="I55" s="20"/>
      <c r="J55" s="20"/>
    </row>
    <row r="56" spans="1:10" ht="15.6">
      <c r="A56" s="20"/>
      <c r="B56" s="20"/>
      <c r="C56" s="20"/>
      <c r="D56" s="20"/>
      <c r="E56" s="20"/>
      <c r="F56" s="20"/>
      <c r="G56" s="20"/>
      <c r="H56" s="20"/>
      <c r="I56" s="20"/>
      <c r="J56" s="20"/>
    </row>
    <row r="57" spans="1:10" ht="15.6">
      <c r="A57" s="20"/>
      <c r="B57" s="20"/>
      <c r="C57" s="20"/>
      <c r="D57" s="20"/>
      <c r="E57" s="20"/>
      <c r="F57" s="20"/>
      <c r="G57" s="20"/>
      <c r="H57" s="20"/>
      <c r="I57" s="20"/>
      <c r="J57" s="20"/>
    </row>
  </sheetData>
  <mergeCells count="3">
    <mergeCell ref="A1:J1"/>
    <mergeCell ref="A2:J2"/>
    <mergeCell ref="A3:J3"/>
  </mergeCells>
  <pageMargins left="0.7" right="0.7" top="0.75" bottom="0.75" header="0.3" footer="0.3"/>
  <pageSetup scale="65"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DABA-D1B7-446E-A86B-49EF1A141FDA}">
  <sheetPr>
    <tabColor rgb="FF92D050"/>
    <pageSetUpPr fitToPage="1"/>
  </sheetPr>
  <dimension ref="A2:Q240"/>
  <sheetViews>
    <sheetView view="pageBreakPreview" topLeftCell="A35" zoomScale="55" zoomScaleNormal="75" zoomScaleSheetLayoutView="55" workbookViewId="0">
      <selection activeCell="E43" sqref="E43"/>
    </sheetView>
  </sheetViews>
  <sheetFormatPr defaultColWidth="8.90625" defaultRowHeight="15.6"/>
  <cols>
    <col min="1" max="1" width="8.90625" style="476"/>
    <col min="2" max="2" width="33.453125" style="472" customWidth="1"/>
    <col min="3" max="3" width="15.08984375" style="477" customWidth="1"/>
    <col min="4" max="4" width="16.81640625" style="476" customWidth="1"/>
    <col min="5" max="5" width="20.54296875" style="476" customWidth="1"/>
    <col min="6" max="6" width="17.36328125" style="477" customWidth="1"/>
    <col min="7" max="7" width="33.08984375" style="477" customWidth="1"/>
    <col min="8" max="8" width="18.453125" style="477" customWidth="1"/>
    <col min="9" max="9" width="16.81640625" style="477" customWidth="1"/>
    <col min="10" max="10" width="18.1796875" style="477" customWidth="1"/>
    <col min="11" max="11" width="17.54296875" style="477" customWidth="1"/>
    <col min="12" max="12" width="16" style="477" customWidth="1"/>
    <col min="13" max="13" width="11.1796875" style="475" bestFit="1" customWidth="1"/>
    <col min="14" max="14" width="13.81640625" style="475" customWidth="1"/>
    <col min="15" max="16" width="8.90625" style="475"/>
    <col min="17" max="17" width="35.54296875" style="475" bestFit="1" customWidth="1"/>
    <col min="18" max="16384" width="8.90625" style="475"/>
  </cols>
  <sheetData>
    <row r="2" spans="1:14">
      <c r="A2" s="931" t="s">
        <v>552</v>
      </c>
      <c r="B2" s="931"/>
      <c r="C2" s="931"/>
      <c r="D2" s="931"/>
      <c r="E2" s="931"/>
      <c r="F2" s="931"/>
      <c r="G2" s="931"/>
      <c r="H2" s="931"/>
      <c r="I2" s="931"/>
      <c r="J2" s="931"/>
      <c r="K2" s="931"/>
      <c r="L2" s="931"/>
    </row>
    <row r="3" spans="1:14">
      <c r="A3" s="932" t="s">
        <v>553</v>
      </c>
      <c r="B3" s="933"/>
      <c r="C3" s="933"/>
      <c r="D3" s="933"/>
      <c r="E3" s="933"/>
      <c r="F3" s="933"/>
      <c r="G3" s="933"/>
      <c r="H3" s="933"/>
      <c r="I3" s="933"/>
      <c r="J3" s="933"/>
      <c r="K3" s="933"/>
      <c r="L3" s="933"/>
      <c r="M3" s="933"/>
      <c r="N3" s="933"/>
    </row>
    <row r="5" spans="1:14">
      <c r="H5" s="478"/>
      <c r="I5" s="478"/>
      <c r="J5" s="478"/>
      <c r="K5" s="476"/>
    </row>
    <row r="6" spans="1:14">
      <c r="A6" s="476">
        <v>1</v>
      </c>
      <c r="B6" s="143" t="s">
        <v>554</v>
      </c>
      <c r="C6" s="147"/>
      <c r="D6" s="143"/>
      <c r="E6" s="143"/>
      <c r="G6" s="479" t="s">
        <v>555</v>
      </c>
      <c r="L6" s="28">
        <f>+'Appendix III'!J153</f>
        <v>27309298.933875509</v>
      </c>
      <c r="M6" s="477"/>
      <c r="N6" s="477"/>
    </row>
    <row r="7" spans="1:14">
      <c r="A7" s="476">
        <v>2</v>
      </c>
      <c r="B7" s="143" t="s">
        <v>556</v>
      </c>
      <c r="C7" s="147"/>
      <c r="D7" s="143"/>
      <c r="E7" s="143"/>
      <c r="G7" s="27" t="s">
        <v>557</v>
      </c>
      <c r="L7" s="28">
        <f>+'Appendix III'!J121+'Appendix III'!J123+'Appendix III'!J118</f>
        <v>17998177</v>
      </c>
      <c r="M7" s="480"/>
      <c r="N7" s="477"/>
    </row>
    <row r="8" spans="1:14">
      <c r="A8" s="476">
        <v>3</v>
      </c>
      <c r="B8" s="143" t="s">
        <v>558</v>
      </c>
      <c r="C8" s="147"/>
      <c r="D8" s="143"/>
      <c r="E8" s="143"/>
      <c r="G8" s="143" t="s">
        <v>559</v>
      </c>
      <c r="L8" s="28">
        <f>+L6-L7</f>
        <v>9311121.9338755086</v>
      </c>
      <c r="M8" s="477"/>
      <c r="N8" s="477"/>
    </row>
    <row r="9" spans="1:14">
      <c r="A9" s="476">
        <v>4</v>
      </c>
      <c r="B9" s="20" t="s">
        <v>560</v>
      </c>
      <c r="C9" s="147"/>
      <c r="D9" s="143"/>
      <c r="E9" s="143"/>
      <c r="G9" s="143" t="str">
        <f>"(Appendix III, line "&amp;'Appendix III'!A199&amp;" (a))"</f>
        <v>(Appendix III, line 88 (a))</v>
      </c>
      <c r="L9" s="28">
        <f>+'Appendix III'!H199</f>
        <v>80454151.794317588</v>
      </c>
      <c r="M9" s="477"/>
      <c r="N9" s="477"/>
    </row>
    <row r="10" spans="1:14">
      <c r="A10" s="476">
        <v>5</v>
      </c>
      <c r="B10" s="150" t="s">
        <v>561</v>
      </c>
      <c r="C10" s="147"/>
      <c r="E10" s="143"/>
      <c r="G10" s="143" t="s">
        <v>562</v>
      </c>
      <c r="L10" s="481">
        <f>IF(L9=0,0,L8/L9)</f>
        <v>0.11573202533636238</v>
      </c>
      <c r="M10" s="477"/>
      <c r="N10" s="477"/>
    </row>
    <row r="11" spans="1:14">
      <c r="A11" s="476">
        <v>6</v>
      </c>
      <c r="B11" s="20" t="s">
        <v>544</v>
      </c>
      <c r="C11" s="147"/>
      <c r="D11" s="153"/>
      <c r="E11" s="143"/>
      <c r="G11" s="143" t="s">
        <v>563</v>
      </c>
      <c r="L11" s="482">
        <f>+'3 - Incentives'!J39</f>
        <v>5.7219325048506126E-3</v>
      </c>
      <c r="M11" s="477"/>
      <c r="N11" s="477"/>
    </row>
    <row r="12" spans="1:14">
      <c r="C12" s="483"/>
      <c r="M12" s="477"/>
      <c r="N12" s="477"/>
    </row>
    <row r="13" spans="1:14">
      <c r="C13" s="483"/>
      <c r="M13" s="477"/>
      <c r="N13" s="477"/>
    </row>
    <row r="14" spans="1:14">
      <c r="C14" s="483"/>
      <c r="M14" s="477"/>
      <c r="N14" s="477"/>
    </row>
    <row r="15" spans="1:14">
      <c r="M15" s="477"/>
      <c r="N15" s="477"/>
    </row>
    <row r="16" spans="1:14">
      <c r="B16" s="484" t="s">
        <v>564</v>
      </c>
      <c r="C16" s="484" t="s">
        <v>565</v>
      </c>
      <c r="D16" s="484" t="s">
        <v>566</v>
      </c>
      <c r="E16" s="484" t="s">
        <v>567</v>
      </c>
      <c r="F16" s="484" t="s">
        <v>568</v>
      </c>
      <c r="G16" s="484" t="s">
        <v>569</v>
      </c>
      <c r="H16" s="484" t="s">
        <v>570</v>
      </c>
      <c r="I16" s="484" t="s">
        <v>571</v>
      </c>
      <c r="J16" s="484" t="s">
        <v>572</v>
      </c>
      <c r="K16" s="484" t="s">
        <v>573</v>
      </c>
      <c r="L16" s="484" t="s">
        <v>574</v>
      </c>
      <c r="M16" s="485" t="s">
        <v>575</v>
      </c>
      <c r="N16" s="485" t="s">
        <v>576</v>
      </c>
    </row>
    <row r="17" spans="1:16">
      <c r="B17" s="472" t="s">
        <v>577</v>
      </c>
      <c r="G17" s="486"/>
      <c r="H17" s="487"/>
      <c r="I17" s="487"/>
      <c r="J17" s="487"/>
      <c r="K17" s="488"/>
      <c r="L17" s="488"/>
      <c r="M17" s="489"/>
      <c r="N17" s="489"/>
    </row>
    <row r="18" spans="1:16" ht="87" customHeight="1">
      <c r="A18" s="472"/>
      <c r="B18" s="478" t="s">
        <v>578</v>
      </c>
      <c r="C18" s="490" t="s">
        <v>579</v>
      </c>
      <c r="D18" s="491" t="s">
        <v>580</v>
      </c>
      <c r="E18" s="491" t="s">
        <v>581</v>
      </c>
      <c r="F18" s="491" t="s">
        <v>582</v>
      </c>
      <c r="G18" s="934" t="s">
        <v>583</v>
      </c>
      <c r="H18" s="935"/>
      <c r="I18" s="935"/>
      <c r="J18" s="936"/>
      <c r="K18" s="492" t="s">
        <v>584</v>
      </c>
      <c r="L18" s="492" t="s">
        <v>585</v>
      </c>
      <c r="M18" s="493" t="s">
        <v>586</v>
      </c>
      <c r="N18" s="494" t="s">
        <v>587</v>
      </c>
    </row>
    <row r="19" spans="1:16" ht="86.25" customHeight="1">
      <c r="A19" s="472"/>
      <c r="B19" s="495"/>
      <c r="C19" s="490"/>
      <c r="D19" s="490" t="s">
        <v>588</v>
      </c>
      <c r="E19" s="490" t="s">
        <v>589</v>
      </c>
      <c r="F19" s="490" t="s">
        <v>590</v>
      </c>
      <c r="G19" s="496" t="s">
        <v>591</v>
      </c>
      <c r="H19" s="497" t="s">
        <v>592</v>
      </c>
      <c r="I19" s="497" t="s">
        <v>593</v>
      </c>
      <c r="J19" s="498" t="s">
        <v>594</v>
      </c>
      <c r="K19" s="498" t="s">
        <v>594</v>
      </c>
      <c r="L19" s="498" t="s">
        <v>595</v>
      </c>
      <c r="M19" s="476" t="s">
        <v>596</v>
      </c>
      <c r="N19" s="499" t="s">
        <v>597</v>
      </c>
    </row>
    <row r="20" spans="1:16" ht="31.2">
      <c r="A20" s="472"/>
      <c r="C20" s="143"/>
      <c r="D20" s="143"/>
      <c r="E20" s="143"/>
      <c r="F20" s="143"/>
      <c r="G20" s="500"/>
      <c r="J20" s="501" t="s">
        <v>598</v>
      </c>
      <c r="K20" s="501" t="s">
        <v>599</v>
      </c>
      <c r="L20" s="502"/>
      <c r="M20" s="477"/>
      <c r="N20" s="503"/>
    </row>
    <row r="21" spans="1:16">
      <c r="A21" s="472"/>
      <c r="C21" s="143"/>
      <c r="D21" s="143"/>
      <c r="E21" s="143"/>
      <c r="F21" s="143"/>
      <c r="G21" s="500"/>
      <c r="J21" s="504"/>
      <c r="K21" s="504"/>
      <c r="L21" s="504"/>
      <c r="M21" s="477"/>
      <c r="N21" s="503"/>
    </row>
    <row r="22" spans="1:16">
      <c r="A22" s="476" t="s">
        <v>600</v>
      </c>
      <c r="B22" s="254">
        <v>0</v>
      </c>
      <c r="C22" s="505">
        <v>0</v>
      </c>
      <c r="D22" s="506">
        <v>0</v>
      </c>
      <c r="E22" s="507">
        <f>+L10</f>
        <v>0.11573202533636238</v>
      </c>
      <c r="F22" s="507">
        <f t="shared" ref="F22:F30" si="0">+L$11*D22/100+E22</f>
        <v>0.11573202533636238</v>
      </c>
      <c r="G22" s="508">
        <v>0</v>
      </c>
      <c r="H22" s="509">
        <v>0</v>
      </c>
      <c r="I22" s="509">
        <v>0</v>
      </c>
      <c r="J22" s="510">
        <f t="shared" ref="J22:J30" si="1">+E22*G22+H22+I22</f>
        <v>0</v>
      </c>
      <c r="K22" s="511">
        <f>+F22*G22+H22+I22</f>
        <v>0</v>
      </c>
      <c r="L22" s="511">
        <f t="shared" ref="L22:L30" si="2">+K22-J22</f>
        <v>0</v>
      </c>
      <c r="M22" s="177">
        <v>0</v>
      </c>
      <c r="N22" s="512">
        <f t="shared" ref="N22:N31" si="3">+K22-M22</f>
        <v>0</v>
      </c>
      <c r="P22" s="513"/>
    </row>
    <row r="23" spans="1:16">
      <c r="A23" s="476" t="s">
        <v>601</v>
      </c>
      <c r="B23" s="254">
        <v>0</v>
      </c>
      <c r="C23" s="514">
        <v>0</v>
      </c>
      <c r="D23" s="506">
        <v>0</v>
      </c>
      <c r="E23" s="515">
        <f>+E22</f>
        <v>0.11573202533636238</v>
      </c>
      <c r="F23" s="507">
        <f t="shared" si="0"/>
        <v>0.11573202533636238</v>
      </c>
      <c r="G23" s="508">
        <v>0</v>
      </c>
      <c r="H23" s="509">
        <v>0</v>
      </c>
      <c r="I23" s="509">
        <v>0</v>
      </c>
      <c r="J23" s="510">
        <f t="shared" si="1"/>
        <v>0</v>
      </c>
      <c r="K23" s="511">
        <f>+F23*G23+H23+I23</f>
        <v>0</v>
      </c>
      <c r="L23" s="511">
        <f t="shared" si="2"/>
        <v>0</v>
      </c>
      <c r="M23" s="177">
        <v>0</v>
      </c>
      <c r="N23" s="512">
        <f t="shared" si="3"/>
        <v>0</v>
      </c>
      <c r="P23" s="513"/>
    </row>
    <row r="24" spans="1:16">
      <c r="A24" s="476" t="s">
        <v>602</v>
      </c>
      <c r="B24" s="254">
        <v>0</v>
      </c>
      <c r="C24" s="514">
        <v>0</v>
      </c>
      <c r="D24" s="506">
        <v>0</v>
      </c>
      <c r="E24" s="507">
        <f>+L10</f>
        <v>0.11573202533636238</v>
      </c>
      <c r="F24" s="507">
        <f t="shared" si="0"/>
        <v>0.11573202533636238</v>
      </c>
      <c r="G24" s="508">
        <v>0</v>
      </c>
      <c r="H24" s="509">
        <v>0</v>
      </c>
      <c r="I24" s="509">
        <v>0</v>
      </c>
      <c r="J24" s="510">
        <f t="shared" si="1"/>
        <v>0</v>
      </c>
      <c r="K24" s="511">
        <f>+F24*G24+H24+I24</f>
        <v>0</v>
      </c>
      <c r="L24" s="511">
        <f t="shared" si="2"/>
        <v>0</v>
      </c>
      <c r="M24" s="177">
        <v>0</v>
      </c>
      <c r="N24" s="512">
        <f t="shared" si="3"/>
        <v>0</v>
      </c>
      <c r="P24" s="513"/>
    </row>
    <row r="25" spans="1:16">
      <c r="A25" s="476" t="s">
        <v>603</v>
      </c>
      <c r="B25" s="516"/>
      <c r="C25" s="514"/>
      <c r="D25" s="506"/>
      <c r="E25" s="517"/>
      <c r="F25" s="518">
        <f t="shared" si="0"/>
        <v>0</v>
      </c>
      <c r="G25" s="519">
        <v>0</v>
      </c>
      <c r="H25" s="514">
        <v>0</v>
      </c>
      <c r="I25" s="514">
        <v>0</v>
      </c>
      <c r="J25" s="510">
        <f t="shared" si="1"/>
        <v>0</v>
      </c>
      <c r="K25" s="511">
        <f t="shared" ref="K25:K30" si="4">+F25*G25+H25</f>
        <v>0</v>
      </c>
      <c r="L25" s="511">
        <f t="shared" si="2"/>
        <v>0</v>
      </c>
      <c r="M25" s="177">
        <v>0</v>
      </c>
      <c r="N25" s="512">
        <f t="shared" si="3"/>
        <v>0</v>
      </c>
    </row>
    <row r="26" spans="1:16">
      <c r="A26" s="476" t="s">
        <v>604</v>
      </c>
      <c r="B26" s="516"/>
      <c r="C26" s="514"/>
      <c r="D26" s="514"/>
      <c r="E26" s="517"/>
      <c r="F26" s="518">
        <f t="shared" si="0"/>
        <v>0</v>
      </c>
      <c r="G26" s="519">
        <v>0</v>
      </c>
      <c r="H26" s="514">
        <v>0</v>
      </c>
      <c r="I26" s="514">
        <v>0</v>
      </c>
      <c r="J26" s="510">
        <f t="shared" si="1"/>
        <v>0</v>
      </c>
      <c r="K26" s="511">
        <f t="shared" si="4"/>
        <v>0</v>
      </c>
      <c r="L26" s="511">
        <f t="shared" si="2"/>
        <v>0</v>
      </c>
      <c r="M26" s="177">
        <v>0</v>
      </c>
      <c r="N26" s="512">
        <f t="shared" si="3"/>
        <v>0</v>
      </c>
    </row>
    <row r="27" spans="1:16">
      <c r="A27" s="476" t="s">
        <v>605</v>
      </c>
      <c r="B27" s="516"/>
      <c r="C27" s="514"/>
      <c r="D27" s="514"/>
      <c r="E27" s="518"/>
      <c r="F27" s="518">
        <f t="shared" si="0"/>
        <v>0</v>
      </c>
      <c r="G27" s="520">
        <v>0</v>
      </c>
      <c r="H27" s="514">
        <v>0</v>
      </c>
      <c r="I27" s="514">
        <v>0</v>
      </c>
      <c r="J27" s="510">
        <f t="shared" si="1"/>
        <v>0</v>
      </c>
      <c r="K27" s="511">
        <f t="shared" si="4"/>
        <v>0</v>
      </c>
      <c r="L27" s="511">
        <f t="shared" si="2"/>
        <v>0</v>
      </c>
      <c r="M27" s="177">
        <v>0</v>
      </c>
      <c r="N27" s="512">
        <f t="shared" si="3"/>
        <v>0</v>
      </c>
    </row>
    <row r="28" spans="1:16">
      <c r="A28" s="476" t="s">
        <v>606</v>
      </c>
      <c r="B28" s="516"/>
      <c r="C28" s="514"/>
      <c r="D28" s="514"/>
      <c r="E28" s="518"/>
      <c r="F28" s="518">
        <f t="shared" si="0"/>
        <v>0</v>
      </c>
      <c r="G28" s="520">
        <v>0</v>
      </c>
      <c r="H28" s="514">
        <v>0</v>
      </c>
      <c r="I28" s="514">
        <v>0</v>
      </c>
      <c r="J28" s="510">
        <f t="shared" si="1"/>
        <v>0</v>
      </c>
      <c r="K28" s="511">
        <f t="shared" si="4"/>
        <v>0</v>
      </c>
      <c r="L28" s="511">
        <f t="shared" si="2"/>
        <v>0</v>
      </c>
      <c r="M28" s="177">
        <v>0</v>
      </c>
      <c r="N28" s="512">
        <f t="shared" si="3"/>
        <v>0</v>
      </c>
    </row>
    <row r="29" spans="1:16">
      <c r="A29" s="476" t="s">
        <v>607</v>
      </c>
      <c r="B29" s="516"/>
      <c r="C29" s="514"/>
      <c r="D29" s="514"/>
      <c r="E29" s="518"/>
      <c r="F29" s="518">
        <f t="shared" si="0"/>
        <v>0</v>
      </c>
      <c r="G29" s="520">
        <v>0</v>
      </c>
      <c r="H29" s="514">
        <v>0</v>
      </c>
      <c r="I29" s="514">
        <v>0</v>
      </c>
      <c r="J29" s="510">
        <f t="shared" si="1"/>
        <v>0</v>
      </c>
      <c r="K29" s="511">
        <f t="shared" si="4"/>
        <v>0</v>
      </c>
      <c r="L29" s="511">
        <f t="shared" si="2"/>
        <v>0</v>
      </c>
      <c r="M29" s="177">
        <v>0</v>
      </c>
      <c r="N29" s="512">
        <f t="shared" si="3"/>
        <v>0</v>
      </c>
    </row>
    <row r="30" spans="1:16">
      <c r="A30" s="476" t="s">
        <v>259</v>
      </c>
      <c r="B30" s="516"/>
      <c r="C30" s="514"/>
      <c r="D30" s="514"/>
      <c r="E30" s="518"/>
      <c r="F30" s="518">
        <f t="shared" si="0"/>
        <v>0</v>
      </c>
      <c r="G30" s="520">
        <v>0</v>
      </c>
      <c r="H30" s="514">
        <v>0</v>
      </c>
      <c r="I30" s="514">
        <v>0</v>
      </c>
      <c r="J30" s="510">
        <f t="shared" si="1"/>
        <v>0</v>
      </c>
      <c r="K30" s="511">
        <f t="shared" si="4"/>
        <v>0</v>
      </c>
      <c r="L30" s="511">
        <f t="shared" si="2"/>
        <v>0</v>
      </c>
      <c r="M30" s="177">
        <v>0</v>
      </c>
      <c r="N30" s="512">
        <f t="shared" si="3"/>
        <v>0</v>
      </c>
    </row>
    <row r="31" spans="1:16">
      <c r="A31" s="476">
        <v>8</v>
      </c>
      <c r="B31" s="485" t="s">
        <v>608</v>
      </c>
      <c r="G31" s="521">
        <f t="shared" ref="G31:L31" si="5">SUM(G22:G30)</f>
        <v>0</v>
      </c>
      <c r="H31" s="522">
        <f t="shared" si="5"/>
        <v>0</v>
      </c>
      <c r="I31" s="522">
        <f t="shared" si="5"/>
        <v>0</v>
      </c>
      <c r="J31" s="523">
        <f t="shared" si="5"/>
        <v>0</v>
      </c>
      <c r="K31" s="524">
        <f t="shared" si="5"/>
        <v>0</v>
      </c>
      <c r="L31" s="524">
        <f t="shared" si="5"/>
        <v>0</v>
      </c>
      <c r="M31" s="177">
        <v>0</v>
      </c>
      <c r="N31" s="512">
        <f t="shared" si="3"/>
        <v>0</v>
      </c>
      <c r="O31" s="525"/>
    </row>
    <row r="32" spans="1:16" ht="68.25" customHeight="1">
      <c r="A32" s="476">
        <v>9</v>
      </c>
      <c r="B32" s="472" t="s">
        <v>609</v>
      </c>
      <c r="G32" s="494" t="s">
        <v>610</v>
      </c>
      <c r="H32" s="494" t="s">
        <v>611</v>
      </c>
      <c r="I32" s="494" t="s">
        <v>612</v>
      </c>
      <c r="J32" s="494" t="s">
        <v>613</v>
      </c>
      <c r="K32" s="494" t="s">
        <v>614</v>
      </c>
      <c r="L32" s="494" t="s">
        <v>615</v>
      </c>
      <c r="M32" s="526"/>
      <c r="N32" s="494" t="s">
        <v>616</v>
      </c>
    </row>
    <row r="33" spans="1:17">
      <c r="A33" s="476">
        <v>10</v>
      </c>
      <c r="B33" s="472" t="s">
        <v>617</v>
      </c>
      <c r="H33" s="527">
        <v>0</v>
      </c>
      <c r="I33" s="527">
        <v>0</v>
      </c>
      <c r="J33" s="527">
        <v>0</v>
      </c>
      <c r="K33" s="527">
        <v>0</v>
      </c>
      <c r="L33" s="527">
        <v>0</v>
      </c>
      <c r="M33" s="527">
        <v>0</v>
      </c>
      <c r="N33" s="527">
        <v>0</v>
      </c>
      <c r="Q33" s="528"/>
    </row>
    <row r="34" spans="1:17">
      <c r="A34" s="476">
        <v>11</v>
      </c>
      <c r="B34" s="472" t="s">
        <v>618</v>
      </c>
      <c r="G34" s="27"/>
      <c r="H34" s="527">
        <v>0</v>
      </c>
      <c r="I34" s="527">
        <v>0</v>
      </c>
      <c r="J34" s="527">
        <v>0</v>
      </c>
      <c r="K34" s="527">
        <v>0</v>
      </c>
      <c r="L34" s="527">
        <v>0</v>
      </c>
      <c r="M34" s="527">
        <v>0</v>
      </c>
      <c r="N34" s="527">
        <v>0</v>
      </c>
    </row>
    <row r="35" spans="1:17">
      <c r="G35" s="27"/>
      <c r="H35" s="527"/>
      <c r="I35" s="527"/>
      <c r="J35" s="527"/>
      <c r="K35" s="527"/>
      <c r="L35" s="527"/>
      <c r="M35" s="527"/>
      <c r="N35" s="527"/>
    </row>
    <row r="36" spans="1:17">
      <c r="A36" s="472" t="s">
        <v>619</v>
      </c>
      <c r="G36" s="28"/>
      <c r="H36" s="480"/>
      <c r="I36" s="480"/>
      <c r="M36" s="477"/>
      <c r="N36" s="477"/>
      <c r="Q36" s="528"/>
    </row>
    <row r="37" spans="1:17">
      <c r="A37" s="472" t="s">
        <v>620</v>
      </c>
      <c r="M37" s="477"/>
      <c r="N37" s="477"/>
    </row>
    <row r="38" spans="1:17">
      <c r="A38" s="472" t="s">
        <v>621</v>
      </c>
      <c r="G38" s="480"/>
      <c r="H38" s="480"/>
      <c r="I38" s="480"/>
      <c r="M38" s="477"/>
      <c r="N38" s="477"/>
    </row>
    <row r="39" spans="1:17">
      <c r="B39" s="20" t="s">
        <v>550</v>
      </c>
      <c r="C39" s="20"/>
      <c r="J39" s="529"/>
      <c r="K39" s="529"/>
      <c r="M39" s="477"/>
      <c r="N39" s="477"/>
    </row>
    <row r="40" spans="1:17">
      <c r="B40" s="473" t="s">
        <v>551</v>
      </c>
      <c r="C40" s="937" t="s">
        <v>446</v>
      </c>
      <c r="D40" s="937"/>
      <c r="M40" s="477"/>
      <c r="N40" s="477"/>
    </row>
    <row r="41" spans="1:17">
      <c r="B41" s="474"/>
      <c r="C41" s="927"/>
      <c r="D41" s="927"/>
      <c r="M41" s="477"/>
      <c r="N41" s="477"/>
    </row>
    <row r="42" spans="1:17">
      <c r="B42" s="474"/>
      <c r="C42" s="927"/>
      <c r="D42" s="927"/>
      <c r="M42" s="477"/>
      <c r="N42" s="477"/>
    </row>
    <row r="43" spans="1:17">
      <c r="B43" s="474"/>
      <c r="C43" s="927"/>
      <c r="D43" s="927"/>
      <c r="M43" s="477"/>
      <c r="N43" s="477"/>
    </row>
    <row r="44" spans="1:17">
      <c r="A44" s="530" t="s">
        <v>622</v>
      </c>
      <c r="M44" s="477"/>
      <c r="N44" s="477"/>
    </row>
    <row r="45" spans="1:17">
      <c r="A45" s="530" t="s">
        <v>623</v>
      </c>
      <c r="M45" s="477"/>
      <c r="N45" s="477"/>
    </row>
    <row r="46" spans="1:17">
      <c r="A46" s="472" t="s">
        <v>624</v>
      </c>
      <c r="M46" s="477"/>
      <c r="N46" s="477"/>
    </row>
    <row r="47" spans="1:17">
      <c r="A47" s="472" t="s">
        <v>625</v>
      </c>
      <c r="M47" s="477"/>
      <c r="N47" s="477"/>
    </row>
    <row r="48" spans="1:17">
      <c r="A48" s="472"/>
      <c r="B48" s="493" t="s">
        <v>186</v>
      </c>
      <c r="C48" s="928" t="s">
        <v>188</v>
      </c>
      <c r="D48" s="929"/>
      <c r="E48" s="493" t="s">
        <v>190</v>
      </c>
      <c r="F48" s="493" t="s">
        <v>193</v>
      </c>
      <c r="G48" s="493" t="s">
        <v>196</v>
      </c>
      <c r="M48" s="477"/>
      <c r="N48" s="477"/>
    </row>
    <row r="49" spans="1:14" ht="94.5" customHeight="1">
      <c r="B49" s="473" t="s">
        <v>551</v>
      </c>
      <c r="C49" s="930" t="s">
        <v>626</v>
      </c>
      <c r="D49" s="930"/>
      <c r="E49" s="531" t="s">
        <v>627</v>
      </c>
      <c r="F49" s="532" t="s">
        <v>628</v>
      </c>
      <c r="G49" s="533" t="s">
        <v>629</v>
      </c>
      <c r="J49" s="28"/>
      <c r="K49" s="28"/>
      <c r="L49" s="28"/>
      <c r="M49" s="477"/>
      <c r="N49" s="477"/>
    </row>
    <row r="50" spans="1:14">
      <c r="A50" s="476">
        <v>10</v>
      </c>
      <c r="B50" s="534">
        <v>0</v>
      </c>
      <c r="C50" s="925">
        <v>0</v>
      </c>
      <c r="D50" s="925"/>
      <c r="E50" s="535">
        <f>IF(C50&gt;0,C50/C$54,0)</f>
        <v>0</v>
      </c>
      <c r="F50" s="536">
        <f>('Appendix III'!J$114-'Appendix III'!J$115+'Appendix III'!J$116+'Appendix III'!J$117)*E50</f>
        <v>0</v>
      </c>
      <c r="G50" s="535">
        <f>+C50+F50</f>
        <v>0</v>
      </c>
      <c r="H50" s="20"/>
      <c r="M50" s="477"/>
      <c r="N50" s="477"/>
    </row>
    <row r="51" spans="1:14">
      <c r="A51" s="476" t="s">
        <v>272</v>
      </c>
      <c r="B51" s="534">
        <v>0</v>
      </c>
      <c r="C51" s="925">
        <v>0</v>
      </c>
      <c r="D51" s="925"/>
      <c r="E51" s="535">
        <f>IF(C51&gt;0,C51/C$54,0)</f>
        <v>0</v>
      </c>
      <c r="F51" s="536">
        <f>('Appendix III'!J$114-'Appendix III'!J$115+'Appendix III'!J$116+'Appendix III'!J$117)*E51</f>
        <v>0</v>
      </c>
      <c r="G51" s="535">
        <f>+C51+F51</f>
        <v>0</v>
      </c>
      <c r="H51" s="20"/>
      <c r="M51" s="477"/>
      <c r="N51" s="477"/>
    </row>
    <row r="52" spans="1:14">
      <c r="A52" s="476" t="s">
        <v>274</v>
      </c>
      <c r="B52" s="534"/>
      <c r="C52" s="925"/>
      <c r="D52" s="925"/>
      <c r="E52" s="535">
        <f>IF(C52&gt;0,C52/C$54,0)</f>
        <v>0</v>
      </c>
      <c r="F52" s="536"/>
      <c r="G52" s="535"/>
      <c r="H52" s="20"/>
      <c r="K52" s="28"/>
      <c r="M52" s="477"/>
      <c r="N52" s="477"/>
    </row>
    <row r="53" spans="1:14">
      <c r="A53" s="476" t="s">
        <v>259</v>
      </c>
      <c r="B53" s="534"/>
      <c r="C53" s="925"/>
      <c r="D53" s="925"/>
      <c r="E53" s="535">
        <f>IF(C53&gt;0,C53/C$54,0)</f>
        <v>0</v>
      </c>
      <c r="F53" s="536"/>
      <c r="G53" s="535"/>
      <c r="K53" s="480"/>
    </row>
    <row r="54" spans="1:14">
      <c r="A54" s="476">
        <v>11</v>
      </c>
      <c r="B54" s="537" t="s">
        <v>630</v>
      </c>
      <c r="C54" s="926">
        <f>SUM(C50:D53)</f>
        <v>0</v>
      </c>
      <c r="D54" s="926"/>
      <c r="E54" s="73"/>
      <c r="F54" s="73"/>
      <c r="G54" s="73">
        <f>SUM(G50:G53)</f>
        <v>0</v>
      </c>
    </row>
    <row r="56" spans="1:14">
      <c r="A56" s="476" t="s">
        <v>631</v>
      </c>
      <c r="B56" s="472" t="s">
        <v>632</v>
      </c>
    </row>
    <row r="57" spans="1:14">
      <c r="B57" s="472" t="s">
        <v>633</v>
      </c>
      <c r="C57" s="923" t="s">
        <v>634</v>
      </c>
      <c r="D57" s="923"/>
      <c r="E57" s="923"/>
      <c r="F57" s="923"/>
      <c r="G57" s="923"/>
      <c r="H57" s="923"/>
      <c r="I57" s="923"/>
      <c r="J57" s="923"/>
      <c r="K57" s="923"/>
      <c r="L57" s="923"/>
      <c r="M57" s="923"/>
    </row>
    <row r="58" spans="1:14">
      <c r="B58" s="472" t="s">
        <v>635</v>
      </c>
      <c r="C58" s="923" t="s">
        <v>636</v>
      </c>
      <c r="D58" s="923"/>
      <c r="E58" s="923"/>
      <c r="F58" s="923"/>
      <c r="G58" s="923"/>
      <c r="H58" s="923"/>
      <c r="I58" s="923"/>
      <c r="J58" s="923"/>
      <c r="K58" s="923"/>
      <c r="L58" s="923"/>
      <c r="M58" s="923"/>
    </row>
    <row r="59" spans="1:14">
      <c r="B59" s="472" t="s">
        <v>637</v>
      </c>
      <c r="C59" s="923" t="s">
        <v>638</v>
      </c>
      <c r="D59" s="923"/>
      <c r="E59" s="923"/>
      <c r="F59" s="923"/>
      <c r="G59" s="923"/>
      <c r="H59" s="923"/>
      <c r="I59" s="923"/>
      <c r="J59" s="923"/>
      <c r="K59" s="923"/>
      <c r="L59" s="923"/>
      <c r="M59" s="923"/>
    </row>
    <row r="60" spans="1:14">
      <c r="B60" s="472" t="s">
        <v>639</v>
      </c>
      <c r="C60" s="923" t="s">
        <v>640</v>
      </c>
      <c r="D60" s="923"/>
      <c r="E60" s="923"/>
      <c r="F60" s="923"/>
      <c r="G60" s="923"/>
      <c r="H60" s="923"/>
      <c r="I60" s="923"/>
      <c r="J60" s="923"/>
      <c r="K60" s="923"/>
      <c r="L60" s="923"/>
      <c r="M60" s="923"/>
    </row>
    <row r="61" spans="1:14">
      <c r="B61" s="472" t="s">
        <v>641</v>
      </c>
      <c r="C61" s="923" t="s">
        <v>642</v>
      </c>
      <c r="D61" s="923"/>
      <c r="E61" s="923"/>
      <c r="F61" s="923"/>
      <c r="G61" s="923"/>
      <c r="H61" s="923"/>
      <c r="I61" s="923"/>
      <c r="J61" s="923"/>
      <c r="K61" s="923"/>
      <c r="L61" s="923"/>
      <c r="M61" s="923"/>
    </row>
    <row r="62" spans="1:14">
      <c r="B62" s="472" t="s">
        <v>643</v>
      </c>
      <c r="C62" s="923" t="s">
        <v>644</v>
      </c>
      <c r="D62" s="923"/>
      <c r="E62" s="923"/>
      <c r="F62" s="923"/>
      <c r="G62" s="923"/>
      <c r="H62" s="923"/>
      <c r="I62" s="923"/>
      <c r="J62" s="923"/>
      <c r="K62" s="923"/>
      <c r="L62" s="923"/>
      <c r="M62" s="923"/>
    </row>
    <row r="63" spans="1:14">
      <c r="B63" s="472" t="s">
        <v>645</v>
      </c>
      <c r="C63" s="923" t="s">
        <v>646</v>
      </c>
      <c r="D63" s="923"/>
      <c r="E63" s="923"/>
      <c r="F63" s="923"/>
      <c r="G63" s="923"/>
      <c r="H63" s="923"/>
      <c r="I63" s="923"/>
      <c r="J63" s="923"/>
      <c r="K63" s="923"/>
      <c r="L63" s="923"/>
      <c r="M63" s="923"/>
    </row>
    <row r="64" spans="1:14">
      <c r="B64" s="472" t="s">
        <v>647</v>
      </c>
      <c r="C64" s="923" t="s">
        <v>648</v>
      </c>
      <c r="D64" s="923"/>
      <c r="E64" s="923"/>
      <c r="F64" s="923"/>
      <c r="G64" s="923"/>
      <c r="H64" s="923"/>
      <c r="I64" s="923"/>
      <c r="J64" s="923"/>
      <c r="K64" s="923"/>
      <c r="L64" s="923"/>
    </row>
    <row r="65" spans="2:12">
      <c r="B65" s="472" t="s">
        <v>649</v>
      </c>
      <c r="C65" s="923" t="s">
        <v>650</v>
      </c>
      <c r="D65" s="923"/>
      <c r="E65" s="923"/>
      <c r="F65" s="923"/>
      <c r="G65" s="923"/>
      <c r="H65" s="923"/>
      <c r="I65" s="923"/>
      <c r="J65" s="923"/>
      <c r="K65" s="923"/>
      <c r="L65" s="923"/>
    </row>
    <row r="66" spans="2:12">
      <c r="B66" s="472" t="s">
        <v>651</v>
      </c>
      <c r="C66" s="923" t="s">
        <v>652</v>
      </c>
      <c r="D66" s="923"/>
      <c r="E66" s="923"/>
      <c r="F66" s="923"/>
      <c r="G66" s="923"/>
      <c r="H66" s="923"/>
      <c r="I66" s="923"/>
      <c r="J66" s="923"/>
      <c r="K66" s="923"/>
      <c r="L66" s="923"/>
    </row>
    <row r="67" spans="2:12">
      <c r="B67" s="472" t="s">
        <v>653</v>
      </c>
      <c r="C67" s="923" t="s">
        <v>654</v>
      </c>
      <c r="D67" s="923"/>
      <c r="E67" s="923"/>
      <c r="F67" s="923"/>
      <c r="G67" s="923"/>
      <c r="H67" s="923"/>
      <c r="I67" s="923"/>
      <c r="J67" s="923"/>
      <c r="K67" s="923"/>
      <c r="L67" s="923"/>
    </row>
    <row r="68" spans="2:12">
      <c r="B68" s="472" t="s">
        <v>655</v>
      </c>
      <c r="C68" s="923" t="s">
        <v>656</v>
      </c>
      <c r="D68" s="923"/>
      <c r="E68" s="923"/>
      <c r="F68" s="923"/>
      <c r="G68" s="923"/>
      <c r="H68" s="923"/>
      <c r="I68" s="923"/>
      <c r="J68" s="923"/>
      <c r="K68" s="923"/>
      <c r="L68" s="923"/>
    </row>
    <row r="69" spans="2:12">
      <c r="B69" s="472" t="s">
        <v>657</v>
      </c>
      <c r="C69" s="923" t="s">
        <v>658</v>
      </c>
      <c r="D69" s="923"/>
      <c r="E69" s="923"/>
      <c r="F69" s="923"/>
      <c r="G69" s="923"/>
      <c r="H69" s="923"/>
      <c r="I69" s="923"/>
      <c r="J69" s="923"/>
      <c r="K69" s="923"/>
      <c r="L69" s="923"/>
    </row>
    <row r="70" spans="2:12" ht="51.75" customHeight="1">
      <c r="B70" s="472" t="s">
        <v>659</v>
      </c>
      <c r="C70" s="924" t="s">
        <v>660</v>
      </c>
      <c r="D70" s="924"/>
      <c r="E70" s="924"/>
      <c r="F70" s="924"/>
      <c r="G70" s="924"/>
      <c r="H70" s="924"/>
      <c r="I70" s="924"/>
      <c r="J70" s="924"/>
      <c r="K70" s="924"/>
      <c r="L70" s="924"/>
    </row>
    <row r="71" spans="2:12">
      <c r="B71" s="472" t="s">
        <v>661</v>
      </c>
      <c r="C71" s="923" t="s">
        <v>662</v>
      </c>
      <c r="D71" s="923"/>
      <c r="E71" s="923"/>
      <c r="F71" s="923"/>
      <c r="G71" s="923"/>
      <c r="H71" s="923"/>
      <c r="I71" s="923"/>
      <c r="J71" s="923"/>
      <c r="K71" s="923"/>
      <c r="L71" s="923"/>
    </row>
    <row r="72" spans="2:12" ht="55.5" customHeight="1">
      <c r="B72" s="472" t="s">
        <v>663</v>
      </c>
      <c r="C72" s="924" t="s">
        <v>664</v>
      </c>
      <c r="D72" s="924"/>
      <c r="E72" s="924"/>
      <c r="F72" s="924"/>
      <c r="G72" s="924"/>
      <c r="H72" s="924"/>
      <c r="I72" s="924"/>
      <c r="J72" s="924"/>
      <c r="K72" s="924"/>
      <c r="L72" s="924"/>
    </row>
    <row r="73" spans="2:12">
      <c r="C73" s="922"/>
      <c r="D73" s="922"/>
      <c r="E73" s="922"/>
      <c r="F73" s="922"/>
      <c r="G73" s="922"/>
      <c r="H73" s="922"/>
      <c r="I73" s="922"/>
      <c r="J73" s="922"/>
      <c r="K73" s="922"/>
      <c r="L73" s="922"/>
    </row>
    <row r="80" spans="2:12">
      <c r="C80" s="477" t="s">
        <v>3</v>
      </c>
    </row>
    <row r="230" spans="1:9">
      <c r="H230" s="538"/>
      <c r="I230" s="538"/>
    </row>
    <row r="232" spans="1:9">
      <c r="A232" s="477"/>
      <c r="B232" s="477"/>
    </row>
    <row r="233" spans="1:9">
      <c r="A233" s="477"/>
      <c r="B233" s="477"/>
    </row>
    <row r="234" spans="1:9">
      <c r="A234" s="477"/>
      <c r="B234" s="477"/>
    </row>
    <row r="235" spans="1:9">
      <c r="A235" s="477"/>
      <c r="B235" s="477"/>
    </row>
    <row r="236" spans="1:9">
      <c r="A236" s="477"/>
      <c r="B236" s="477"/>
    </row>
    <row r="237" spans="1:9">
      <c r="A237" s="477"/>
      <c r="B237" s="477"/>
    </row>
    <row r="238" spans="1:9">
      <c r="A238" s="477"/>
      <c r="B238" s="477"/>
    </row>
    <row r="239" spans="1:9">
      <c r="A239" s="477"/>
      <c r="B239" s="477"/>
    </row>
    <row r="240" spans="1:9">
      <c r="A240" s="477"/>
      <c r="B240" s="477"/>
    </row>
  </sheetData>
  <mergeCells count="31">
    <mergeCell ref="C52:D52"/>
    <mergeCell ref="A2:L2"/>
    <mergeCell ref="A3:N3"/>
    <mergeCell ref="G18:J18"/>
    <mergeCell ref="C40:D40"/>
    <mergeCell ref="C41:D41"/>
    <mergeCell ref="C42:D42"/>
    <mergeCell ref="C43:D43"/>
    <mergeCell ref="C48:D48"/>
    <mergeCell ref="C49:D49"/>
    <mergeCell ref="C50:D50"/>
    <mergeCell ref="C51:D51"/>
    <mergeCell ref="C66:L66"/>
    <mergeCell ref="C53:D53"/>
    <mergeCell ref="C54:D54"/>
    <mergeCell ref="C57:M57"/>
    <mergeCell ref="C58:M58"/>
    <mergeCell ref="C59:M59"/>
    <mergeCell ref="C60:M60"/>
    <mergeCell ref="C61:M61"/>
    <mergeCell ref="C62:M62"/>
    <mergeCell ref="C63:M63"/>
    <mergeCell ref="C64:L64"/>
    <mergeCell ref="C65:L65"/>
    <mergeCell ref="C73:L73"/>
    <mergeCell ref="C67:L67"/>
    <mergeCell ref="C68:L68"/>
    <mergeCell ref="C69:L69"/>
    <mergeCell ref="C70:L70"/>
    <mergeCell ref="C71:L71"/>
    <mergeCell ref="C72:L72"/>
  </mergeCells>
  <printOptions horizontalCentered="1"/>
  <pageMargins left="0.25" right="0.25" top="0.75" bottom="0.25" header="0.4" footer="0.5"/>
  <pageSetup scale="36" orientation="landscape"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3F98B-D774-49C6-AF1B-866448DD4C8F}">
  <sheetPr>
    <tabColor rgb="FF92D050"/>
  </sheetPr>
  <dimension ref="A1:N64"/>
  <sheetViews>
    <sheetView view="pageBreakPreview" topLeftCell="A11" zoomScale="70" zoomScaleNormal="80" zoomScaleSheetLayoutView="70" workbookViewId="0">
      <selection activeCell="E43" sqref="E43"/>
    </sheetView>
  </sheetViews>
  <sheetFormatPr defaultColWidth="8.90625" defaultRowHeight="15.6"/>
  <cols>
    <col min="1" max="1" width="6.1796875" style="147" bestFit="1" customWidth="1"/>
    <col min="2" max="2" width="21.81640625" style="20" customWidth="1"/>
    <col min="3" max="3" width="4.453125" style="20" bestFit="1" customWidth="1"/>
    <col min="4" max="4" width="5.1796875" style="20" customWidth="1"/>
    <col min="5" max="5" width="18.81640625" style="20" customWidth="1"/>
    <col min="6" max="6" width="1.81640625" style="20" customWidth="1"/>
    <col min="7" max="7" width="18.6328125" style="20" customWidth="1"/>
    <col min="8" max="8" width="12.81640625" style="20" customWidth="1"/>
    <col min="9" max="9" width="15" style="20" customWidth="1"/>
    <col min="10" max="10" width="15.81640625" style="20" customWidth="1"/>
    <col min="11" max="11" width="1.453125" style="20" customWidth="1"/>
    <col min="12" max="12" width="13.453125" style="20" customWidth="1"/>
    <col min="14" max="14" width="8.453125" bestFit="1" customWidth="1"/>
  </cols>
  <sheetData>
    <row r="1" spans="1:13" s="539" customFormat="1">
      <c r="A1" s="147"/>
      <c r="B1" s="938"/>
      <c r="C1" s="938"/>
      <c r="D1" s="938"/>
      <c r="E1" s="938"/>
      <c r="F1" s="938"/>
      <c r="G1" s="938"/>
      <c r="H1" s="938"/>
      <c r="I1" s="938"/>
      <c r="J1" s="938"/>
      <c r="K1" s="938"/>
      <c r="L1" s="938"/>
    </row>
    <row r="2" spans="1:13" s="539" customFormat="1">
      <c r="A2" s="147"/>
      <c r="B2" s="939" t="s">
        <v>665</v>
      </c>
      <c r="C2" s="939"/>
      <c r="D2" s="939"/>
      <c r="E2" s="939"/>
      <c r="F2" s="939"/>
      <c r="G2" s="939"/>
      <c r="H2" s="939"/>
      <c r="I2" s="939"/>
      <c r="J2" s="939"/>
      <c r="K2" s="939"/>
      <c r="L2" s="939"/>
    </row>
    <row r="3" spans="1:13" s="539" customFormat="1">
      <c r="A3" s="147"/>
      <c r="B3" s="940"/>
      <c r="C3" s="940"/>
      <c r="D3" s="940"/>
      <c r="E3" s="940"/>
      <c r="F3" s="940"/>
      <c r="G3" s="940"/>
      <c r="H3" s="940"/>
      <c r="I3" s="940"/>
      <c r="J3" s="940"/>
      <c r="K3" s="940"/>
      <c r="L3" s="940"/>
    </row>
    <row r="4" spans="1:13" s="539" customFormat="1">
      <c r="A4" s="147"/>
      <c r="B4" s="941" t="s">
        <v>524</v>
      </c>
      <c r="C4" s="942"/>
      <c r="D4" s="942"/>
      <c r="E4" s="942"/>
      <c r="F4" s="942"/>
      <c r="G4" s="942"/>
      <c r="H4" s="942"/>
      <c r="I4" s="942"/>
      <c r="J4" s="942"/>
      <c r="K4" s="942"/>
      <c r="L4" s="942"/>
    </row>
    <row r="5" spans="1:13">
      <c r="B5" s="540"/>
      <c r="C5" s="540"/>
      <c r="D5" s="540"/>
      <c r="E5" s="540"/>
      <c r="F5" s="540"/>
      <c r="G5" s="540"/>
      <c r="H5" s="540"/>
      <c r="I5" s="540"/>
      <c r="J5" s="540"/>
      <c r="K5" s="540"/>
      <c r="L5" s="540"/>
    </row>
    <row r="6" spans="1:13">
      <c r="B6" s="540"/>
      <c r="C6" s="540"/>
      <c r="D6" s="540"/>
      <c r="E6" s="540"/>
      <c r="F6" s="540"/>
      <c r="G6" s="540"/>
      <c r="H6" s="540"/>
      <c r="I6" s="540"/>
      <c r="J6" s="540"/>
      <c r="K6" s="540"/>
      <c r="L6" s="540"/>
    </row>
    <row r="7" spans="1:13" ht="16.2" thickBot="1">
      <c r="A7" s="402">
        <v>1</v>
      </c>
      <c r="B7" s="541">
        <v>2022</v>
      </c>
      <c r="C7" s="542"/>
      <c r="D7" s="542"/>
      <c r="E7" s="541">
        <v>2022</v>
      </c>
      <c r="F7" s="540"/>
      <c r="G7" s="540"/>
      <c r="H7" s="540"/>
      <c r="I7" s="540"/>
      <c r="K7" s="540"/>
      <c r="L7" s="540"/>
      <c r="M7" s="539"/>
    </row>
    <row r="8" spans="1:13" ht="31.2">
      <c r="A8" s="402">
        <f>+A7+1</f>
        <v>2</v>
      </c>
      <c r="B8" s="543" t="s">
        <v>666</v>
      </c>
      <c r="C8" s="540"/>
      <c r="D8" s="540"/>
      <c r="E8" s="543" t="s">
        <v>667</v>
      </c>
      <c r="F8" s="540"/>
      <c r="G8" s="540"/>
      <c r="H8" s="543" t="s">
        <v>668</v>
      </c>
      <c r="K8" s="540"/>
      <c r="L8" s="540"/>
      <c r="M8" s="539"/>
    </row>
    <row r="9" spans="1:13">
      <c r="A9" s="402">
        <f t="shared" ref="A9:A55" si="0">+A8+1</f>
        <v>3</v>
      </c>
      <c r="B9" s="544"/>
      <c r="C9" s="540"/>
      <c r="D9" s="540"/>
      <c r="E9" s="544"/>
      <c r="F9" s="540"/>
      <c r="G9" s="540"/>
      <c r="H9" s="545"/>
      <c r="K9" s="540"/>
      <c r="L9" s="540"/>
      <c r="M9" s="539"/>
    </row>
    <row r="10" spans="1:13" ht="16.2" thickBot="1">
      <c r="A10" s="402">
        <f>+A9+1</f>
        <v>4</v>
      </c>
      <c r="B10" s="546">
        <v>15763664.823068118</v>
      </c>
      <c r="C10" s="547" t="s">
        <v>669</v>
      </c>
      <c r="D10" s="548"/>
      <c r="E10" s="546">
        <f>'Appendix III'!J38</f>
        <v>27309298.933875509</v>
      </c>
      <c r="F10" s="549"/>
      <c r="G10" s="547" t="s">
        <v>670</v>
      </c>
      <c r="H10" s="550">
        <f>IF(E10=0,0,B10-E10)</f>
        <v>-11545634.110807391</v>
      </c>
      <c r="K10" s="540"/>
      <c r="L10" s="540"/>
      <c r="M10" s="539"/>
    </row>
    <row r="11" spans="1:13">
      <c r="A11" s="402">
        <f t="shared" si="0"/>
        <v>5</v>
      </c>
      <c r="B11" s="549"/>
      <c r="C11" s="548"/>
      <c r="D11" s="548"/>
      <c r="E11" s="549"/>
      <c r="F11" s="549"/>
      <c r="G11" s="548"/>
      <c r="H11" s="549"/>
      <c r="I11" s="540"/>
      <c r="J11" s="540"/>
      <c r="K11" s="540"/>
      <c r="L11" s="540"/>
      <c r="M11" s="539"/>
    </row>
    <row r="12" spans="1:13" ht="16.2" thickBot="1">
      <c r="A12" s="402">
        <f t="shared" si="0"/>
        <v>6</v>
      </c>
      <c r="B12" s="551"/>
      <c r="C12" s="552"/>
      <c r="D12" s="552"/>
      <c r="E12" s="551"/>
      <c r="F12" s="551"/>
      <c r="G12" s="552"/>
      <c r="H12" s="551"/>
      <c r="I12" s="553"/>
      <c r="J12" s="553"/>
      <c r="K12" s="553"/>
      <c r="L12" s="553"/>
      <c r="M12" s="539"/>
    </row>
    <row r="13" spans="1:13" ht="23.25" customHeight="1">
      <c r="A13" s="402">
        <f t="shared" si="0"/>
        <v>7</v>
      </c>
      <c r="B13" s="554"/>
      <c r="C13" s="548"/>
      <c r="D13" s="548"/>
      <c r="E13" s="549"/>
      <c r="F13" s="549"/>
      <c r="G13" s="548"/>
      <c r="H13" s="549"/>
      <c r="I13" s="540"/>
      <c r="J13" s="540"/>
      <c r="K13" s="540"/>
      <c r="L13" s="540"/>
      <c r="M13" s="539"/>
    </row>
    <row r="14" spans="1:13" ht="53.25" customHeight="1">
      <c r="A14" s="402">
        <f t="shared" si="0"/>
        <v>8</v>
      </c>
      <c r="B14" s="555" t="s">
        <v>671</v>
      </c>
      <c r="C14" s="548"/>
      <c r="D14" s="548"/>
      <c r="E14" s="556" t="s">
        <v>672</v>
      </c>
      <c r="F14" s="549"/>
      <c r="G14" s="556" t="s">
        <v>673</v>
      </c>
      <c r="H14" s="547" t="s">
        <v>674</v>
      </c>
      <c r="I14" s="557" t="s">
        <v>675</v>
      </c>
      <c r="J14" s="556" t="s">
        <v>676</v>
      </c>
      <c r="K14" s="558"/>
      <c r="L14" s="556" t="s">
        <v>677</v>
      </c>
      <c r="M14" s="539"/>
    </row>
    <row r="15" spans="1:13">
      <c r="A15" s="402">
        <f t="shared" si="0"/>
        <v>9</v>
      </c>
      <c r="B15" s="555"/>
      <c r="C15" s="548"/>
      <c r="D15" s="548"/>
      <c r="E15" s="540"/>
      <c r="F15" s="559"/>
      <c r="G15" s="560">
        <v>3.1583333333333329E-3</v>
      </c>
      <c r="H15" s="549"/>
      <c r="I15" s="540"/>
      <c r="J15" s="540"/>
      <c r="K15" s="540"/>
      <c r="L15" s="540"/>
      <c r="M15" s="539"/>
    </row>
    <row r="16" spans="1:13">
      <c r="A16" s="402">
        <f t="shared" si="0"/>
        <v>10</v>
      </c>
      <c r="B16" s="555"/>
      <c r="C16" s="548"/>
      <c r="D16" s="548"/>
      <c r="E16" s="540"/>
      <c r="F16" s="559"/>
      <c r="G16" s="559"/>
      <c r="H16" s="549"/>
      <c r="I16" s="540"/>
      <c r="J16" s="540"/>
      <c r="K16" s="540"/>
      <c r="L16" s="540"/>
      <c r="M16" s="539"/>
    </row>
    <row r="17" spans="1:13">
      <c r="A17" s="402">
        <f t="shared" si="0"/>
        <v>11</v>
      </c>
      <c r="B17" s="555" t="s">
        <v>678</v>
      </c>
      <c r="C17" s="548"/>
      <c r="D17" s="548"/>
      <c r="E17" s="540"/>
      <c r="F17" s="559"/>
      <c r="G17" s="559"/>
      <c r="H17" s="549"/>
      <c r="I17" s="540"/>
      <c r="J17" s="540"/>
      <c r="K17" s="540"/>
      <c r="L17" s="540"/>
      <c r="M17" s="539"/>
    </row>
    <row r="18" spans="1:13">
      <c r="A18" s="402">
        <f t="shared" si="0"/>
        <v>12</v>
      </c>
      <c r="B18" s="561" t="s">
        <v>3</v>
      </c>
      <c r="C18" s="548"/>
      <c r="D18" s="548"/>
      <c r="E18" s="548"/>
      <c r="F18" s="548"/>
      <c r="G18" s="548" t="s">
        <v>3</v>
      </c>
      <c r="H18" s="540"/>
      <c r="I18" s="540"/>
      <c r="J18" s="540"/>
      <c r="K18" s="540"/>
      <c r="L18" s="540"/>
      <c r="M18" s="539"/>
    </row>
    <row r="19" spans="1:13">
      <c r="A19" s="402">
        <f t="shared" si="0"/>
        <v>13</v>
      </c>
      <c r="B19" s="562"/>
      <c r="C19" s="548"/>
      <c r="D19" s="548"/>
      <c r="E19" s="548"/>
      <c r="F19" s="548"/>
      <c r="G19" s="540"/>
      <c r="H19" s="540"/>
      <c r="I19" s="547"/>
      <c r="J19" s="548"/>
      <c r="K19" s="548"/>
      <c r="L19" s="548"/>
      <c r="M19" s="539"/>
    </row>
    <row r="20" spans="1:13">
      <c r="A20" s="402">
        <f t="shared" si="0"/>
        <v>14</v>
      </c>
      <c r="B20" s="562" t="s">
        <v>679</v>
      </c>
      <c r="C20" s="548"/>
      <c r="D20" s="548"/>
      <c r="E20" s="548"/>
      <c r="F20" s="548"/>
      <c r="G20" s="540"/>
      <c r="H20" s="540"/>
      <c r="I20" s="547" t="s">
        <v>680</v>
      </c>
      <c r="J20" s="548"/>
      <c r="K20" s="548"/>
      <c r="L20" s="548"/>
      <c r="M20" s="539"/>
    </row>
    <row r="21" spans="1:13">
      <c r="A21" s="402">
        <f t="shared" si="0"/>
        <v>15</v>
      </c>
      <c r="B21" s="540" t="s">
        <v>298</v>
      </c>
      <c r="C21" s="563">
        <v>2022</v>
      </c>
      <c r="D21" s="540"/>
      <c r="E21" s="564">
        <f>+H10/12</f>
        <v>-962136.17590061587</v>
      </c>
      <c r="F21" s="564"/>
      <c r="G21" s="565">
        <f>+G15</f>
        <v>3.1583333333333329E-3</v>
      </c>
      <c r="H21" s="564">
        <v>12</v>
      </c>
      <c r="I21" s="564">
        <f>G21*E21*H21*-1</f>
        <v>36464.961066633332</v>
      </c>
      <c r="J21" s="564"/>
      <c r="K21" s="564"/>
      <c r="L21" s="564">
        <f>(-I21+E21)*-1</f>
        <v>998601.13696724921</v>
      </c>
      <c r="M21" s="539"/>
    </row>
    <row r="22" spans="1:13">
      <c r="A22" s="402">
        <f t="shared" si="0"/>
        <v>16</v>
      </c>
      <c r="B22" s="540" t="s">
        <v>300</v>
      </c>
      <c r="C22" s="563">
        <v>2022</v>
      </c>
      <c r="D22" s="540"/>
      <c r="E22" s="564">
        <f>+E21</f>
        <v>-962136.17590061587</v>
      </c>
      <c r="F22" s="564"/>
      <c r="G22" s="565">
        <f>+G21</f>
        <v>3.1583333333333329E-3</v>
      </c>
      <c r="H22" s="27">
        <f t="shared" ref="H22:H32" si="1">+H21-1</f>
        <v>11</v>
      </c>
      <c r="I22" s="564">
        <f t="shared" ref="I22:I32" si="2">G22*E22*H22*-1</f>
        <v>33426.214311080555</v>
      </c>
      <c r="J22" s="564"/>
      <c r="K22" s="564"/>
      <c r="L22" s="564">
        <f t="shared" ref="L22:L31" si="3">(-I22+E22)*-1</f>
        <v>995562.39021169639</v>
      </c>
      <c r="M22" s="539"/>
    </row>
    <row r="23" spans="1:13">
      <c r="A23" s="402">
        <f t="shared" si="0"/>
        <v>17</v>
      </c>
      <c r="B23" s="540" t="s">
        <v>301</v>
      </c>
      <c r="C23" s="563">
        <v>2022</v>
      </c>
      <c r="D23" s="540"/>
      <c r="E23" s="564">
        <f t="shared" ref="E23:E32" si="4">+E22</f>
        <v>-962136.17590061587</v>
      </c>
      <c r="F23" s="564"/>
      <c r="G23" s="565">
        <f t="shared" ref="G23:G32" si="5">+G22</f>
        <v>3.1583333333333329E-3</v>
      </c>
      <c r="H23" s="27">
        <f t="shared" si="1"/>
        <v>10</v>
      </c>
      <c r="I23" s="564">
        <f t="shared" si="2"/>
        <v>30387.467555527779</v>
      </c>
      <c r="J23" s="564"/>
      <c r="K23" s="564"/>
      <c r="L23" s="564">
        <f t="shared" si="3"/>
        <v>992523.64345614368</v>
      </c>
      <c r="M23" s="539"/>
    </row>
    <row r="24" spans="1:13">
      <c r="A24" s="402">
        <f t="shared" si="0"/>
        <v>18</v>
      </c>
      <c r="B24" s="540" t="s">
        <v>302</v>
      </c>
      <c r="C24" s="563">
        <v>2022</v>
      </c>
      <c r="D24" s="540"/>
      <c r="E24" s="564">
        <f t="shared" si="4"/>
        <v>-962136.17590061587</v>
      </c>
      <c r="F24" s="564"/>
      <c r="G24" s="565">
        <f t="shared" si="5"/>
        <v>3.1583333333333329E-3</v>
      </c>
      <c r="H24" s="27">
        <f t="shared" si="1"/>
        <v>9</v>
      </c>
      <c r="I24" s="564">
        <f t="shared" si="2"/>
        <v>27348.720799974999</v>
      </c>
      <c r="J24" s="564"/>
      <c r="K24" s="564"/>
      <c r="L24" s="564">
        <f t="shared" si="3"/>
        <v>989484.89670059085</v>
      </c>
      <c r="M24" s="539"/>
    </row>
    <row r="25" spans="1:13">
      <c r="A25" s="402">
        <f t="shared" si="0"/>
        <v>19</v>
      </c>
      <c r="B25" s="540" t="s">
        <v>303</v>
      </c>
      <c r="C25" s="563">
        <v>2022</v>
      </c>
      <c r="D25" s="540"/>
      <c r="E25" s="564">
        <f t="shared" si="4"/>
        <v>-962136.17590061587</v>
      </c>
      <c r="F25" s="564"/>
      <c r="G25" s="565">
        <f t="shared" si="5"/>
        <v>3.1583333333333329E-3</v>
      </c>
      <c r="H25" s="27">
        <f t="shared" si="1"/>
        <v>8</v>
      </c>
      <c r="I25" s="564">
        <f t="shared" si="2"/>
        <v>24309.974044422223</v>
      </c>
      <c r="J25" s="564"/>
      <c r="K25" s="564"/>
      <c r="L25" s="564">
        <f t="shared" si="3"/>
        <v>986446.14994503814</v>
      </c>
      <c r="M25" s="539"/>
    </row>
    <row r="26" spans="1:13">
      <c r="A26" s="402">
        <f t="shared" si="0"/>
        <v>20</v>
      </c>
      <c r="B26" s="540" t="s">
        <v>469</v>
      </c>
      <c r="C26" s="563">
        <v>2022</v>
      </c>
      <c r="D26" s="540"/>
      <c r="E26" s="564">
        <f t="shared" si="4"/>
        <v>-962136.17590061587</v>
      </c>
      <c r="F26" s="564"/>
      <c r="G26" s="565">
        <f t="shared" si="5"/>
        <v>3.1583333333333329E-3</v>
      </c>
      <c r="H26" s="27">
        <f t="shared" si="1"/>
        <v>7</v>
      </c>
      <c r="I26" s="564">
        <f t="shared" si="2"/>
        <v>21271.227288869446</v>
      </c>
      <c r="J26" s="564"/>
      <c r="K26" s="564"/>
      <c r="L26" s="564">
        <f t="shared" si="3"/>
        <v>983407.40318948531</v>
      </c>
      <c r="M26" s="539"/>
    </row>
    <row r="27" spans="1:13">
      <c r="A27" s="402">
        <f t="shared" si="0"/>
        <v>21</v>
      </c>
      <c r="B27" s="540" t="s">
        <v>305</v>
      </c>
      <c r="C27" s="563">
        <v>2022</v>
      </c>
      <c r="D27" s="540"/>
      <c r="E27" s="564">
        <f t="shared" si="4"/>
        <v>-962136.17590061587</v>
      </c>
      <c r="F27" s="564"/>
      <c r="G27" s="565">
        <f t="shared" si="5"/>
        <v>3.1583333333333329E-3</v>
      </c>
      <c r="H27" s="27">
        <f t="shared" si="1"/>
        <v>6</v>
      </c>
      <c r="I27" s="564">
        <f t="shared" si="2"/>
        <v>18232.480533316666</v>
      </c>
      <c r="J27" s="564"/>
      <c r="K27" s="564"/>
      <c r="L27" s="564">
        <f t="shared" si="3"/>
        <v>980368.65643393248</v>
      </c>
      <c r="M27" s="539"/>
    </row>
    <row r="28" spans="1:13">
      <c r="A28" s="402">
        <f t="shared" si="0"/>
        <v>22</v>
      </c>
      <c r="B28" s="540" t="s">
        <v>306</v>
      </c>
      <c r="C28" s="563">
        <v>2022</v>
      </c>
      <c r="D28" s="540"/>
      <c r="E28" s="564">
        <f t="shared" si="4"/>
        <v>-962136.17590061587</v>
      </c>
      <c r="F28" s="564"/>
      <c r="G28" s="565">
        <f t="shared" si="5"/>
        <v>3.1583333333333329E-3</v>
      </c>
      <c r="H28" s="27">
        <f t="shared" si="1"/>
        <v>5</v>
      </c>
      <c r="I28" s="564">
        <f t="shared" si="2"/>
        <v>15193.73377776389</v>
      </c>
      <c r="J28" s="564"/>
      <c r="K28" s="564"/>
      <c r="L28" s="564">
        <f t="shared" si="3"/>
        <v>977329.90967837977</v>
      </c>
      <c r="M28" s="539"/>
    </row>
    <row r="29" spans="1:13">
      <c r="A29" s="402">
        <f t="shared" si="0"/>
        <v>23</v>
      </c>
      <c r="B29" s="540" t="s">
        <v>307</v>
      </c>
      <c r="C29" s="563">
        <v>2022</v>
      </c>
      <c r="D29" s="540"/>
      <c r="E29" s="564">
        <f t="shared" si="4"/>
        <v>-962136.17590061587</v>
      </c>
      <c r="F29" s="564"/>
      <c r="G29" s="565">
        <f t="shared" si="5"/>
        <v>3.1583333333333329E-3</v>
      </c>
      <c r="H29" s="27">
        <f t="shared" si="1"/>
        <v>4</v>
      </c>
      <c r="I29" s="564">
        <f t="shared" si="2"/>
        <v>12154.987022211111</v>
      </c>
      <c r="J29" s="564"/>
      <c r="K29" s="564"/>
      <c r="L29" s="564">
        <f t="shared" si="3"/>
        <v>974291.16292282694</v>
      </c>
      <c r="M29" s="539"/>
    </row>
    <row r="30" spans="1:13">
      <c r="A30" s="402">
        <f t="shared" si="0"/>
        <v>24</v>
      </c>
      <c r="B30" s="540" t="s">
        <v>314</v>
      </c>
      <c r="C30" s="563">
        <v>2022</v>
      </c>
      <c r="D30" s="540"/>
      <c r="E30" s="564">
        <f t="shared" si="4"/>
        <v>-962136.17590061587</v>
      </c>
      <c r="F30" s="564"/>
      <c r="G30" s="565">
        <f t="shared" si="5"/>
        <v>3.1583333333333329E-3</v>
      </c>
      <c r="H30" s="27">
        <f t="shared" si="1"/>
        <v>3</v>
      </c>
      <c r="I30" s="564">
        <f t="shared" si="2"/>
        <v>9116.240266658333</v>
      </c>
      <c r="J30" s="564"/>
      <c r="K30" s="564"/>
      <c r="L30" s="564">
        <f t="shared" si="3"/>
        <v>971252.41616727423</v>
      </c>
      <c r="M30" s="539"/>
    </row>
    <row r="31" spans="1:13">
      <c r="A31" s="402">
        <f t="shared" si="0"/>
        <v>25</v>
      </c>
      <c r="B31" s="540" t="s">
        <v>309</v>
      </c>
      <c r="C31" s="563">
        <v>2022</v>
      </c>
      <c r="D31" s="540"/>
      <c r="E31" s="564">
        <f t="shared" si="4"/>
        <v>-962136.17590061587</v>
      </c>
      <c r="F31" s="564"/>
      <c r="G31" s="565">
        <f t="shared" si="5"/>
        <v>3.1583333333333329E-3</v>
      </c>
      <c r="H31" s="27">
        <f t="shared" si="1"/>
        <v>2</v>
      </c>
      <c r="I31" s="564">
        <f t="shared" si="2"/>
        <v>6077.4935111055556</v>
      </c>
      <c r="J31" s="564"/>
      <c r="K31" s="564"/>
      <c r="L31" s="564">
        <f t="shared" si="3"/>
        <v>968213.66941172141</v>
      </c>
      <c r="M31" s="539"/>
    </row>
    <row r="32" spans="1:13">
      <c r="A32" s="402">
        <f t="shared" si="0"/>
        <v>26</v>
      </c>
      <c r="B32" s="540" t="s">
        <v>296</v>
      </c>
      <c r="C32" s="563">
        <v>2022</v>
      </c>
      <c r="D32" s="540"/>
      <c r="E32" s="564">
        <f t="shared" si="4"/>
        <v>-962136.17590061587</v>
      </c>
      <c r="F32" s="564"/>
      <c r="G32" s="565">
        <f t="shared" si="5"/>
        <v>3.1583333333333329E-3</v>
      </c>
      <c r="H32" s="27">
        <f t="shared" si="1"/>
        <v>1</v>
      </c>
      <c r="I32" s="566">
        <f t="shared" si="2"/>
        <v>3038.7467555527778</v>
      </c>
      <c r="J32" s="564"/>
      <c r="K32" s="564"/>
      <c r="L32" s="564">
        <f>(-I32+E32)*-1</f>
        <v>965174.9226561687</v>
      </c>
      <c r="M32" s="539"/>
    </row>
    <row r="33" spans="1:14">
      <c r="A33" s="402">
        <f t="shared" si="0"/>
        <v>27</v>
      </c>
      <c r="B33" s="540"/>
      <c r="C33" s="540"/>
      <c r="D33" s="540"/>
      <c r="E33" s="564"/>
      <c r="F33" s="564"/>
      <c r="G33" s="565"/>
      <c r="H33" s="27"/>
      <c r="I33" s="564">
        <f>SUM(I21:I32)</f>
        <v>237022.24693311666</v>
      </c>
      <c r="J33" s="564"/>
      <c r="K33" s="564"/>
      <c r="L33" s="567">
        <f>SUM(L21:L32)</f>
        <v>11782656.357740507</v>
      </c>
      <c r="M33" s="539"/>
    </row>
    <row r="34" spans="1:14">
      <c r="A34" s="402">
        <f t="shared" si="0"/>
        <v>28</v>
      </c>
      <c r="B34" s="540"/>
      <c r="C34" s="540"/>
      <c r="D34" s="540"/>
      <c r="E34" s="564"/>
      <c r="F34" s="564"/>
      <c r="G34" s="565"/>
      <c r="H34" s="564"/>
      <c r="I34" s="564"/>
      <c r="J34" s="564" t="s">
        <v>3</v>
      </c>
      <c r="K34" s="564"/>
      <c r="M34" s="539"/>
    </row>
    <row r="35" spans="1:14">
      <c r="A35" s="402">
        <f t="shared" si="0"/>
        <v>29</v>
      </c>
      <c r="B35" s="540"/>
      <c r="C35" s="540"/>
      <c r="D35" s="540"/>
      <c r="E35" s="549"/>
      <c r="F35" s="549"/>
      <c r="G35" s="565"/>
      <c r="H35" s="564"/>
      <c r="I35" s="568" t="s">
        <v>681</v>
      </c>
      <c r="J35" s="564"/>
      <c r="K35" s="564"/>
      <c r="L35" s="564"/>
      <c r="M35" s="539"/>
    </row>
    <row r="36" spans="1:14">
      <c r="A36" s="402">
        <f t="shared" si="0"/>
        <v>30</v>
      </c>
      <c r="B36" s="540" t="s">
        <v>682</v>
      </c>
      <c r="C36" s="563">
        <v>2022</v>
      </c>
      <c r="D36" s="540"/>
      <c r="E36" s="549">
        <f>L33</f>
        <v>11782656.357740507</v>
      </c>
      <c r="F36" s="549"/>
      <c r="G36" s="565">
        <f>+G32</f>
        <v>3.1583333333333329E-3</v>
      </c>
      <c r="H36" s="564">
        <v>12</v>
      </c>
      <c r="I36" s="564">
        <f>+H36*G36*E36</f>
        <v>446562.67595836514</v>
      </c>
      <c r="J36" s="564"/>
      <c r="K36" s="564"/>
      <c r="L36" s="567">
        <f>+E36+I36</f>
        <v>12229219.033698872</v>
      </c>
      <c r="M36" s="539"/>
    </row>
    <row r="37" spans="1:14">
      <c r="A37" s="402">
        <f t="shared" si="0"/>
        <v>31</v>
      </c>
      <c r="B37" s="540"/>
      <c r="C37" s="540"/>
      <c r="D37" s="540"/>
      <c r="E37" s="549"/>
      <c r="F37" s="549"/>
      <c r="G37" s="565"/>
      <c r="H37" s="540"/>
      <c r="I37" s="564"/>
      <c r="J37" s="564"/>
      <c r="K37" s="564"/>
      <c r="L37" s="564"/>
      <c r="M37" s="539"/>
    </row>
    <row r="38" spans="1:14">
      <c r="A38" s="402">
        <f t="shared" si="0"/>
        <v>32</v>
      </c>
      <c r="B38" s="569" t="s">
        <v>683</v>
      </c>
      <c r="C38" s="540"/>
      <c r="D38" s="540"/>
      <c r="E38" s="564"/>
      <c r="F38" s="564"/>
      <c r="G38" s="565"/>
      <c r="H38" s="540"/>
      <c r="I38" s="568" t="s">
        <v>680</v>
      </c>
      <c r="J38" s="564"/>
      <c r="K38" s="564"/>
      <c r="L38" s="564"/>
      <c r="M38" s="539"/>
    </row>
    <row r="39" spans="1:14">
      <c r="A39" s="402">
        <f t="shared" si="0"/>
        <v>33</v>
      </c>
      <c r="B39" s="540" t="s">
        <v>298</v>
      </c>
      <c r="C39" s="563">
        <v>2022</v>
      </c>
      <c r="D39" s="540"/>
      <c r="E39" s="570">
        <f>-L36</f>
        <v>-12229219.033698872</v>
      </c>
      <c r="F39" s="549"/>
      <c r="G39" s="565">
        <f>+G32</f>
        <v>3.1583333333333329E-3</v>
      </c>
      <c r="H39" s="540"/>
      <c r="I39" s="564">
        <f xml:space="preserve"> -G39*E39</f>
        <v>38623.950114765597</v>
      </c>
      <c r="J39" s="564">
        <f>PMT(G39,12,L$36)</f>
        <v>-1040143.838823702</v>
      </c>
      <c r="K39" s="564"/>
      <c r="L39" s="564">
        <f>(+E39+E39*G39-J39)*-1</f>
        <v>11227699.144989936</v>
      </c>
      <c r="M39" s="571"/>
      <c r="N39" s="572"/>
    </row>
    <row r="40" spans="1:14">
      <c r="A40" s="402">
        <f t="shared" si="0"/>
        <v>34</v>
      </c>
      <c r="B40" s="540" t="s">
        <v>300</v>
      </c>
      <c r="C40" s="563">
        <v>2022</v>
      </c>
      <c r="D40" s="540"/>
      <c r="E40" s="549">
        <f>-L39</f>
        <v>-11227699.144989936</v>
      </c>
      <c r="F40" s="549"/>
      <c r="G40" s="565">
        <f>+G39</f>
        <v>3.1583333333333329E-3</v>
      </c>
      <c r="H40" s="540"/>
      <c r="I40" s="564">
        <f t="shared" ref="I40:I50" si="6" xml:space="preserve"> -G40*E40</f>
        <v>35460.816466259872</v>
      </c>
      <c r="J40" s="564">
        <f>J39</f>
        <v>-1040143.838823702</v>
      </c>
      <c r="K40" s="564"/>
      <c r="L40" s="564">
        <f t="shared" ref="L40:L50" si="7">(+E40+E40*G40-J40)*-1</f>
        <v>10223016.122632494</v>
      </c>
      <c r="M40" s="571"/>
      <c r="N40" s="572"/>
    </row>
    <row r="41" spans="1:14">
      <c r="A41" s="402">
        <f t="shared" si="0"/>
        <v>35</v>
      </c>
      <c r="B41" s="540" t="s">
        <v>301</v>
      </c>
      <c r="C41" s="563">
        <v>2022</v>
      </c>
      <c r="D41" s="540"/>
      <c r="E41" s="549">
        <f t="shared" ref="E41:E50" si="8">-L40</f>
        <v>-10223016.122632494</v>
      </c>
      <c r="F41" s="549"/>
      <c r="G41" s="565">
        <f t="shared" ref="G41:G50" si="9">+G40</f>
        <v>3.1583333333333329E-3</v>
      </c>
      <c r="H41" s="540"/>
      <c r="I41" s="564">
        <f t="shared" si="6"/>
        <v>32287.69258731429</v>
      </c>
      <c r="J41" s="564">
        <f t="shared" ref="J41:J50" si="10">J40</f>
        <v>-1040143.838823702</v>
      </c>
      <c r="K41" s="564"/>
      <c r="L41" s="564">
        <f t="shared" si="7"/>
        <v>9215159.9763961062</v>
      </c>
      <c r="M41" s="571"/>
      <c r="N41" s="572"/>
    </row>
    <row r="42" spans="1:14">
      <c r="A42" s="402">
        <f t="shared" si="0"/>
        <v>36</v>
      </c>
      <c r="B42" s="540" t="s">
        <v>302</v>
      </c>
      <c r="C42" s="563">
        <v>2022</v>
      </c>
      <c r="D42" s="540"/>
      <c r="E42" s="549">
        <f t="shared" si="8"/>
        <v>-9215159.9763961062</v>
      </c>
      <c r="F42" s="549"/>
      <c r="G42" s="565">
        <f t="shared" si="9"/>
        <v>3.1583333333333329E-3</v>
      </c>
      <c r="H42" s="540"/>
      <c r="I42" s="564">
        <f t="shared" si="6"/>
        <v>29104.546925451032</v>
      </c>
      <c r="J42" s="564">
        <f t="shared" si="10"/>
        <v>-1040143.838823702</v>
      </c>
      <c r="K42" s="564"/>
      <c r="L42" s="564">
        <f t="shared" si="7"/>
        <v>8204120.6844978556</v>
      </c>
      <c r="M42" s="571"/>
      <c r="N42" s="572"/>
    </row>
    <row r="43" spans="1:14">
      <c r="A43" s="402">
        <f t="shared" si="0"/>
        <v>37</v>
      </c>
      <c r="B43" s="540" t="s">
        <v>303</v>
      </c>
      <c r="C43" s="563">
        <v>2022</v>
      </c>
      <c r="D43" s="540"/>
      <c r="E43" s="549">
        <f t="shared" si="8"/>
        <v>-8204120.6844978556</v>
      </c>
      <c r="F43" s="549"/>
      <c r="G43" s="565">
        <f t="shared" si="9"/>
        <v>3.1583333333333329E-3</v>
      </c>
      <c r="H43" s="540"/>
      <c r="I43" s="564">
        <f t="shared" si="6"/>
        <v>25911.347828539056</v>
      </c>
      <c r="J43" s="564">
        <f t="shared" si="10"/>
        <v>-1040143.838823702</v>
      </c>
      <c r="K43" s="564"/>
      <c r="L43" s="564">
        <f t="shared" si="7"/>
        <v>7189888.1935026925</v>
      </c>
      <c r="M43" s="571"/>
      <c r="N43" s="572"/>
    </row>
    <row r="44" spans="1:14">
      <c r="A44" s="402">
        <f t="shared" si="0"/>
        <v>38</v>
      </c>
      <c r="B44" s="540" t="s">
        <v>469</v>
      </c>
      <c r="C44" s="563">
        <v>2022</v>
      </c>
      <c r="D44" s="540"/>
      <c r="E44" s="549">
        <f t="shared" si="8"/>
        <v>-7189888.1935026925</v>
      </c>
      <c r="F44" s="549"/>
      <c r="G44" s="565">
        <f t="shared" si="9"/>
        <v>3.1583333333333329E-3</v>
      </c>
      <c r="H44" s="540"/>
      <c r="I44" s="564">
        <f t="shared" si="6"/>
        <v>22708.063544479333</v>
      </c>
      <c r="J44" s="564">
        <f t="shared" si="10"/>
        <v>-1040143.838823702</v>
      </c>
      <c r="K44" s="564"/>
      <c r="L44" s="564">
        <f t="shared" si="7"/>
        <v>6172452.4182234695</v>
      </c>
      <c r="M44" s="571"/>
      <c r="N44" s="572"/>
    </row>
    <row r="45" spans="1:14">
      <c r="A45" s="402">
        <f t="shared" si="0"/>
        <v>39</v>
      </c>
      <c r="B45" s="540" t="s">
        <v>305</v>
      </c>
      <c r="C45" s="563">
        <v>2022</v>
      </c>
      <c r="D45" s="540"/>
      <c r="E45" s="549">
        <f t="shared" si="8"/>
        <v>-6172452.4182234695</v>
      </c>
      <c r="F45" s="549"/>
      <c r="G45" s="565">
        <f t="shared" si="9"/>
        <v>3.1583333333333329E-3</v>
      </c>
      <c r="H45" s="540"/>
      <c r="I45" s="564">
        <f t="shared" si="6"/>
        <v>19494.66222088912</v>
      </c>
      <c r="J45" s="564">
        <f t="shared" si="10"/>
        <v>-1040143.838823702</v>
      </c>
      <c r="K45" s="564"/>
      <c r="L45" s="564">
        <f t="shared" si="7"/>
        <v>5151803.2416206561</v>
      </c>
      <c r="M45" s="571"/>
      <c r="N45" s="572"/>
    </row>
    <row r="46" spans="1:14">
      <c r="A46" s="402">
        <f t="shared" si="0"/>
        <v>40</v>
      </c>
      <c r="B46" s="540" t="s">
        <v>306</v>
      </c>
      <c r="C46" s="563">
        <v>2022</v>
      </c>
      <c r="D46" s="540"/>
      <c r="E46" s="549">
        <f t="shared" si="8"/>
        <v>-5151803.2416206561</v>
      </c>
      <c r="F46" s="549"/>
      <c r="G46" s="565">
        <f t="shared" si="9"/>
        <v>3.1583333333333329E-3</v>
      </c>
      <c r="H46" s="540"/>
      <c r="I46" s="564">
        <f t="shared" si="6"/>
        <v>16271.111904785237</v>
      </c>
      <c r="J46" s="564">
        <f t="shared" si="10"/>
        <v>-1040143.838823702</v>
      </c>
      <c r="K46" s="564"/>
      <c r="L46" s="564">
        <f t="shared" si="7"/>
        <v>4127930.514701739</v>
      </c>
      <c r="M46" s="571"/>
      <c r="N46" s="572"/>
    </row>
    <row r="47" spans="1:14">
      <c r="A47" s="402">
        <f t="shared" si="0"/>
        <v>41</v>
      </c>
      <c r="B47" s="540" t="s">
        <v>307</v>
      </c>
      <c r="C47" s="563">
        <v>2022</v>
      </c>
      <c r="D47" s="540"/>
      <c r="E47" s="549">
        <f t="shared" si="8"/>
        <v>-4127930.514701739</v>
      </c>
      <c r="F47" s="549"/>
      <c r="G47" s="565">
        <f t="shared" si="9"/>
        <v>3.1583333333333329E-3</v>
      </c>
      <c r="H47" s="540"/>
      <c r="I47" s="564">
        <f t="shared" si="6"/>
        <v>13037.380542266324</v>
      </c>
      <c r="J47" s="564">
        <f t="shared" si="10"/>
        <v>-1040143.838823702</v>
      </c>
      <c r="K47" s="564"/>
      <c r="L47" s="564">
        <f t="shared" si="7"/>
        <v>3100824.0564203029</v>
      </c>
      <c r="M47" s="571"/>
      <c r="N47" s="572"/>
    </row>
    <row r="48" spans="1:14">
      <c r="A48" s="402">
        <f t="shared" si="0"/>
        <v>42</v>
      </c>
      <c r="B48" s="540" t="s">
        <v>314</v>
      </c>
      <c r="C48" s="563">
        <v>2022</v>
      </c>
      <c r="D48" s="540"/>
      <c r="E48" s="549">
        <f t="shared" si="8"/>
        <v>-3100824.0564203029</v>
      </c>
      <c r="F48" s="549"/>
      <c r="G48" s="565">
        <f t="shared" si="9"/>
        <v>3.1583333333333329E-3</v>
      </c>
      <c r="H48" s="540"/>
      <c r="I48" s="564">
        <f t="shared" si="6"/>
        <v>9793.4359781941221</v>
      </c>
      <c r="J48" s="564">
        <f t="shared" si="10"/>
        <v>-1040143.838823702</v>
      </c>
      <c r="K48" s="564"/>
      <c r="L48" s="564">
        <f t="shared" si="7"/>
        <v>2070473.6535747952</v>
      </c>
      <c r="M48" s="571"/>
      <c r="N48" s="572"/>
    </row>
    <row r="49" spans="1:14">
      <c r="A49" s="402">
        <f t="shared" si="0"/>
        <v>43</v>
      </c>
      <c r="B49" s="540" t="s">
        <v>309</v>
      </c>
      <c r="C49" s="563">
        <v>2022</v>
      </c>
      <c r="D49" s="540"/>
      <c r="E49" s="549">
        <f t="shared" si="8"/>
        <v>-2070473.6535747952</v>
      </c>
      <c r="F49" s="549"/>
      <c r="G49" s="565">
        <f t="shared" si="9"/>
        <v>3.1583333333333329E-3</v>
      </c>
      <c r="H49" s="540"/>
      <c r="I49" s="564">
        <f t="shared" si="6"/>
        <v>6539.2459558737273</v>
      </c>
      <c r="J49" s="564">
        <f t="shared" si="10"/>
        <v>-1040143.838823702</v>
      </c>
      <c r="K49" s="564"/>
      <c r="L49" s="564">
        <f t="shared" si="7"/>
        <v>1036869.060706967</v>
      </c>
      <c r="M49" s="571"/>
      <c r="N49" s="572"/>
    </row>
    <row r="50" spans="1:14">
      <c r="A50" s="402">
        <f t="shared" si="0"/>
        <v>44</v>
      </c>
      <c r="B50" s="540" t="s">
        <v>296</v>
      </c>
      <c r="C50" s="563">
        <v>2022</v>
      </c>
      <c r="D50" s="540"/>
      <c r="E50" s="549">
        <f t="shared" si="8"/>
        <v>-1036869.060706967</v>
      </c>
      <c r="F50" s="549"/>
      <c r="G50" s="565">
        <f t="shared" si="9"/>
        <v>3.1583333333333329E-3</v>
      </c>
      <c r="H50" s="540"/>
      <c r="I50" s="566">
        <f t="shared" si="6"/>
        <v>3274.7781167328371</v>
      </c>
      <c r="J50" s="564">
        <f t="shared" si="10"/>
        <v>-1040143.838823702</v>
      </c>
      <c r="K50" s="564"/>
      <c r="L50" s="564">
        <f t="shared" si="7"/>
        <v>-2.0954757928848267E-9</v>
      </c>
      <c r="M50" s="571"/>
      <c r="N50" s="572"/>
    </row>
    <row r="51" spans="1:14">
      <c r="A51" s="402">
        <f t="shared" si="0"/>
        <v>45</v>
      </c>
      <c r="B51" s="540"/>
      <c r="C51" s="540"/>
      <c r="D51" s="540"/>
      <c r="E51" s="549"/>
      <c r="F51" s="549"/>
      <c r="G51" s="565"/>
      <c r="H51" s="540"/>
      <c r="I51" s="564">
        <f>SUM(I39:I50)</f>
        <v>252507.03218555055</v>
      </c>
      <c r="J51" s="564"/>
      <c r="K51" s="564"/>
      <c r="L51" s="564"/>
      <c r="M51" s="571"/>
      <c r="N51" s="572"/>
    </row>
    <row r="52" spans="1:14">
      <c r="A52" s="402">
        <f t="shared" si="0"/>
        <v>46</v>
      </c>
      <c r="M52" s="539"/>
    </row>
    <row r="53" spans="1:14">
      <c r="A53" s="402">
        <f t="shared" si="0"/>
        <v>47</v>
      </c>
      <c r="B53" s="540" t="s">
        <v>684</v>
      </c>
      <c r="J53" s="573">
        <f>SUM(J39:J50)*-1</f>
        <v>12481726.065884424</v>
      </c>
      <c r="M53" s="539"/>
    </row>
    <row r="54" spans="1:14">
      <c r="A54" s="402">
        <f t="shared" si="0"/>
        <v>48</v>
      </c>
      <c r="B54" s="540" t="s">
        <v>685</v>
      </c>
      <c r="J54" s="573">
        <f>+H10</f>
        <v>-11545634.110807391</v>
      </c>
      <c r="M54" s="539"/>
    </row>
    <row r="55" spans="1:14">
      <c r="A55" s="402">
        <f t="shared" si="0"/>
        <v>49</v>
      </c>
      <c r="B55" s="540" t="s">
        <v>686</v>
      </c>
      <c r="J55" s="573">
        <f>(J53+J54)</f>
        <v>936091.95507703349</v>
      </c>
      <c r="M55" s="539"/>
    </row>
    <row r="56" spans="1:14">
      <c r="A56" s="402"/>
      <c r="B56" s="540"/>
      <c r="J56" s="573"/>
      <c r="M56" s="539"/>
    </row>
    <row r="57" spans="1:14">
      <c r="B57" s="540" t="s">
        <v>687</v>
      </c>
    </row>
    <row r="58" spans="1:14">
      <c r="B58" s="540" t="s">
        <v>688</v>
      </c>
      <c r="G58" s="574"/>
      <c r="J58" s="573"/>
    </row>
    <row r="59" spans="1:14">
      <c r="B59" s="540" t="s">
        <v>689</v>
      </c>
    </row>
    <row r="60" spans="1:14">
      <c r="B60" s="540" t="s">
        <v>690</v>
      </c>
      <c r="G60" s="574"/>
      <c r="J60" s="575"/>
    </row>
    <row r="61" spans="1:14">
      <c r="B61" s="540" t="s">
        <v>691</v>
      </c>
      <c r="E61" s="576"/>
      <c r="G61" s="574"/>
      <c r="J61" s="575"/>
    </row>
    <row r="62" spans="1:14">
      <c r="J62" s="576"/>
    </row>
    <row r="64" spans="1:14">
      <c r="B64" s="540"/>
    </row>
  </sheetData>
  <mergeCells count="4">
    <mergeCell ref="B1:L1"/>
    <mergeCell ref="B2:L2"/>
    <mergeCell ref="B3:L3"/>
    <mergeCell ref="B4:L4"/>
  </mergeCells>
  <pageMargins left="0.75" right="0.75" top="1" bottom="1" header="0.5" footer="0.5"/>
  <pageSetup scale="46" orientation="landscape" r:id="rId1"/>
  <headerFooter alignWithMargins="0"/>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EF57-7C32-41B3-A130-29D5A2FD0C5E}">
  <sheetPr>
    <tabColor rgb="FF92D050"/>
    <pageSetUpPr fitToPage="1"/>
  </sheetPr>
  <dimension ref="A1:T156"/>
  <sheetViews>
    <sheetView view="pageBreakPreview" zoomScale="80" zoomScaleNormal="80" zoomScaleSheetLayoutView="80" workbookViewId="0">
      <selection activeCell="L41" sqref="L41"/>
    </sheetView>
  </sheetViews>
  <sheetFormatPr defaultColWidth="8.81640625" defaultRowHeight="15.6"/>
  <cols>
    <col min="1" max="1" width="5.54296875" style="477" customWidth="1"/>
    <col min="2" max="2" width="28" style="472" customWidth="1"/>
    <col min="3" max="3" width="10.54296875" style="477" bestFit="1" customWidth="1"/>
    <col min="4" max="4" width="9.81640625" style="477" bestFit="1" customWidth="1"/>
    <col min="5" max="5" width="16.1796875" style="477" customWidth="1"/>
    <col min="6" max="6" width="12" style="477" customWidth="1"/>
    <col min="7" max="7" width="11.81640625" style="477" customWidth="1"/>
    <col min="8" max="8" width="12" style="577" customWidth="1"/>
    <col min="9" max="9" width="32" style="577" customWidth="1"/>
    <col min="10" max="10" width="8.81640625" style="577"/>
    <col min="11" max="11" width="12" style="577" customWidth="1"/>
    <col min="12" max="12" width="12.81640625" style="577" customWidth="1"/>
    <col min="13" max="16384" width="8.81640625" style="577"/>
  </cols>
  <sheetData>
    <row r="1" spans="1:20" ht="18" customHeight="1">
      <c r="A1" s="931" t="s">
        <v>692</v>
      </c>
      <c r="B1" s="931"/>
      <c r="C1" s="931"/>
      <c r="D1" s="931"/>
      <c r="E1" s="931"/>
      <c r="F1" s="931"/>
      <c r="G1" s="931"/>
      <c r="H1" s="931"/>
      <c r="I1" s="931"/>
      <c r="J1" s="477"/>
      <c r="K1" s="477"/>
      <c r="L1" s="477"/>
    </row>
    <row r="2" spans="1:20" ht="18" customHeight="1">
      <c r="A2" s="932" t="str">
        <f>'Appendix III'!D7:D7</f>
        <v>Horizon West Transmission, LLC</v>
      </c>
      <c r="B2" s="932"/>
      <c r="C2" s="932"/>
      <c r="D2" s="932"/>
      <c r="E2" s="932"/>
      <c r="F2" s="932"/>
      <c r="G2" s="932"/>
      <c r="H2" s="932"/>
      <c r="I2" s="932"/>
      <c r="J2" s="485"/>
      <c r="K2" s="485"/>
      <c r="L2" s="485"/>
    </row>
    <row r="3" spans="1:20" ht="18" customHeight="1">
      <c r="A3" s="931" t="str">
        <f>+'Appendix III'!M7</f>
        <v>For the 12 months ended 12/31/2022</v>
      </c>
      <c r="B3" s="931"/>
      <c r="C3" s="931"/>
      <c r="D3" s="931"/>
      <c r="E3" s="931"/>
      <c r="F3" s="931"/>
      <c r="G3" s="931"/>
      <c r="H3" s="943"/>
      <c r="I3" s="931"/>
      <c r="J3" s="477"/>
      <c r="K3" s="477"/>
      <c r="L3" s="477"/>
    </row>
    <row r="4" spans="1:20" ht="18" customHeight="1">
      <c r="A4" s="476"/>
      <c r="B4" s="476"/>
      <c r="C4" s="476"/>
      <c r="D4" s="476"/>
      <c r="E4" s="476"/>
      <c r="F4" s="476"/>
      <c r="G4" s="476"/>
      <c r="H4" s="476"/>
      <c r="I4" s="476"/>
      <c r="J4" s="477"/>
      <c r="K4" s="477"/>
      <c r="L4" s="477"/>
    </row>
    <row r="5" spans="1:20" ht="17.399999999999999">
      <c r="B5" s="476" t="s">
        <v>186</v>
      </c>
      <c r="C5" s="476"/>
      <c r="D5" s="578"/>
      <c r="E5" s="578" t="s">
        <v>188</v>
      </c>
      <c r="F5" s="578" t="s">
        <v>190</v>
      </c>
      <c r="G5" s="578" t="s">
        <v>193</v>
      </c>
      <c r="H5" s="578" t="s">
        <v>196</v>
      </c>
      <c r="I5" s="579"/>
    </row>
    <row r="6" spans="1:20">
      <c r="B6" s="577"/>
      <c r="C6" s="577"/>
      <c r="D6" s="577"/>
      <c r="E6" s="577"/>
      <c r="F6" s="577"/>
      <c r="G6" s="577"/>
      <c r="H6" s="578" t="s">
        <v>693</v>
      </c>
      <c r="I6" s="477"/>
      <c r="T6" s="578"/>
    </row>
    <row r="7" spans="1:20">
      <c r="A7" s="580" t="s">
        <v>694</v>
      </c>
      <c r="B7" s="580" t="s">
        <v>695</v>
      </c>
      <c r="C7" s="581"/>
      <c r="D7" s="582"/>
      <c r="E7" s="583" t="s">
        <v>389</v>
      </c>
      <c r="F7" s="583" t="s">
        <v>696</v>
      </c>
      <c r="G7" s="583" t="s">
        <v>697</v>
      </c>
      <c r="H7" s="583" t="s">
        <v>48</v>
      </c>
      <c r="I7" s="581"/>
      <c r="T7" s="578"/>
    </row>
    <row r="8" spans="1:20">
      <c r="B8" s="584"/>
      <c r="D8" s="577"/>
      <c r="H8" s="477"/>
      <c r="I8" s="477"/>
      <c r="L8" s="585"/>
    </row>
    <row r="9" spans="1:20" ht="20.25" customHeight="1">
      <c r="A9" s="477">
        <v>1</v>
      </c>
      <c r="B9" s="477" t="s">
        <v>698</v>
      </c>
      <c r="D9" s="577"/>
      <c r="E9" s="27">
        <f>F24</f>
        <v>-1573221.8836134321</v>
      </c>
      <c r="F9" s="27">
        <f>G24</f>
        <v>0</v>
      </c>
      <c r="G9" s="27">
        <f>H24</f>
        <v>0</v>
      </c>
      <c r="H9" s="27"/>
      <c r="I9" s="477" t="s">
        <v>699</v>
      </c>
    </row>
    <row r="10" spans="1:20" ht="20.25" customHeight="1">
      <c r="A10" s="477">
        <f t="shared" ref="A10:A16" si="0">+A9+1</f>
        <v>2</v>
      </c>
      <c r="B10" s="477" t="s">
        <v>700</v>
      </c>
      <c r="D10" s="577"/>
      <c r="E10" s="27">
        <f>F31</f>
        <v>-3797691.35</v>
      </c>
      <c r="F10" s="27">
        <f>G31</f>
        <v>0</v>
      </c>
      <c r="G10" s="27">
        <f>H31</f>
        <v>0</v>
      </c>
      <c r="H10" s="27"/>
      <c r="I10" s="477" t="s">
        <v>701</v>
      </c>
    </row>
    <row r="11" spans="1:20" ht="20.25" customHeight="1">
      <c r="A11" s="477">
        <f t="shared" si="0"/>
        <v>3</v>
      </c>
      <c r="B11" s="477" t="s">
        <v>702</v>
      </c>
      <c r="D11" s="577"/>
      <c r="E11" s="27">
        <f>F38</f>
        <v>0</v>
      </c>
      <c r="F11" s="27">
        <f>G38</f>
        <v>0</v>
      </c>
      <c r="G11" s="27">
        <f>H38</f>
        <v>0</v>
      </c>
      <c r="H11" s="27"/>
      <c r="I11" s="477" t="s">
        <v>703</v>
      </c>
    </row>
    <row r="12" spans="1:20" ht="20.25" customHeight="1">
      <c r="A12" s="477">
        <f t="shared" si="0"/>
        <v>4</v>
      </c>
      <c r="B12" s="477" t="s">
        <v>704</v>
      </c>
      <c r="D12" s="577"/>
      <c r="E12" s="27">
        <f>SUM(E9:E11)</f>
        <v>-5370913.2336134324</v>
      </c>
      <c r="F12" s="27">
        <f>SUM(F9:F11)</f>
        <v>0</v>
      </c>
      <c r="G12" s="27">
        <f>SUM(G9:G11)</f>
        <v>0</v>
      </c>
      <c r="H12" s="27"/>
      <c r="I12" s="586" t="s">
        <v>705</v>
      </c>
    </row>
    <row r="13" spans="1:20" ht="20.25" customHeight="1">
      <c r="A13" s="477">
        <f t="shared" si="0"/>
        <v>5</v>
      </c>
      <c r="B13" s="477" t="s">
        <v>706</v>
      </c>
      <c r="D13" s="577"/>
      <c r="G13" s="151">
        <f>+'Appendix III'!J183</f>
        <v>1</v>
      </c>
      <c r="H13" s="477"/>
      <c r="I13" s="477" t="s">
        <v>707</v>
      </c>
    </row>
    <row r="14" spans="1:20" ht="20.25" customHeight="1">
      <c r="A14" s="477">
        <f t="shared" si="0"/>
        <v>6</v>
      </c>
      <c r="B14" s="477" t="s">
        <v>708</v>
      </c>
      <c r="D14" s="577"/>
      <c r="F14" s="587">
        <f>+'Appendix III'!H78</f>
        <v>1</v>
      </c>
      <c r="H14" s="477"/>
      <c r="I14" s="477" t="s">
        <v>709</v>
      </c>
    </row>
    <row r="15" spans="1:20" ht="20.25" customHeight="1">
      <c r="A15" s="477">
        <f t="shared" si="0"/>
        <v>7</v>
      </c>
      <c r="B15" s="477" t="s">
        <v>710</v>
      </c>
      <c r="D15" s="577"/>
      <c r="E15" s="587">
        <v>1</v>
      </c>
      <c r="F15" s="587"/>
      <c r="H15" s="477"/>
      <c r="I15" s="588">
        <v>1</v>
      </c>
    </row>
    <row r="16" spans="1:20" ht="20.25" customHeight="1">
      <c r="A16" s="477">
        <f t="shared" si="0"/>
        <v>8</v>
      </c>
      <c r="B16" s="477" t="s">
        <v>711</v>
      </c>
      <c r="D16" s="577"/>
      <c r="E16" s="27">
        <f>+E15*E12</f>
        <v>-5370913.2336134324</v>
      </c>
      <c r="F16" s="27">
        <f>+F14*F12</f>
        <v>0</v>
      </c>
      <c r="G16" s="27">
        <f>+G13*G12</f>
        <v>0</v>
      </c>
      <c r="H16" s="27">
        <f>+E16+F16+G16</f>
        <v>-5370913.2336134324</v>
      </c>
      <c r="I16" s="589" t="s">
        <v>712</v>
      </c>
    </row>
    <row r="17" spans="1:17">
      <c r="B17" s="477"/>
      <c r="D17" s="577"/>
      <c r="E17" s="27"/>
      <c r="F17" s="27"/>
      <c r="G17" s="27"/>
      <c r="H17" s="27"/>
      <c r="I17" s="589"/>
    </row>
    <row r="18" spans="1:17">
      <c r="B18" s="477"/>
      <c r="D18" s="586"/>
      <c r="G18" s="27"/>
      <c r="I18" s="578"/>
    </row>
    <row r="19" spans="1:17">
      <c r="B19" s="476" t="s">
        <v>174</v>
      </c>
      <c r="C19" s="476" t="s">
        <v>370</v>
      </c>
      <c r="D19" s="476" t="s">
        <v>713</v>
      </c>
      <c r="E19" s="476" t="s">
        <v>714</v>
      </c>
      <c r="F19" s="476" t="s">
        <v>715</v>
      </c>
      <c r="G19" s="578" t="s">
        <v>716</v>
      </c>
      <c r="H19" s="578" t="s">
        <v>717</v>
      </c>
      <c r="I19" s="578"/>
    </row>
    <row r="20" spans="1:17" ht="31.2">
      <c r="A20" s="590"/>
      <c r="B20" s="591" t="s">
        <v>718</v>
      </c>
      <c r="C20" s="591" t="s">
        <v>719</v>
      </c>
      <c r="D20" s="591" t="s">
        <v>294</v>
      </c>
      <c r="E20" s="591" t="s">
        <v>720</v>
      </c>
      <c r="F20" s="591" t="s">
        <v>389</v>
      </c>
      <c r="G20" s="591" t="s">
        <v>696</v>
      </c>
      <c r="H20" s="591" t="s">
        <v>697</v>
      </c>
      <c r="I20" s="591"/>
      <c r="Q20" s="578"/>
    </row>
    <row r="21" spans="1:17">
      <c r="A21" s="477" t="s">
        <v>721</v>
      </c>
      <c r="D21" s="476"/>
      <c r="E21" s="476"/>
      <c r="F21" s="476"/>
      <c r="G21" s="577"/>
      <c r="Q21" s="578"/>
    </row>
    <row r="22" spans="1:17" ht="20.25" customHeight="1">
      <c r="A22" s="584">
        <f>A16+1</f>
        <v>9</v>
      </c>
      <c r="B22" s="472" t="s">
        <v>722</v>
      </c>
      <c r="C22" s="477" t="s">
        <v>296</v>
      </c>
      <c r="D22" s="592" t="s">
        <v>723</v>
      </c>
      <c r="E22" s="27">
        <f>'6c- ADIT BOY'!C54</f>
        <v>-1252959</v>
      </c>
      <c r="F22" s="27">
        <f>'6c- ADIT BOY'!E54</f>
        <v>-1252959</v>
      </c>
      <c r="G22" s="27">
        <f>'6c- ADIT BOY'!F54</f>
        <v>0</v>
      </c>
      <c r="H22" s="27">
        <f>'6c- ADIT BOY'!G54</f>
        <v>0</v>
      </c>
      <c r="I22" s="593"/>
    </row>
    <row r="23" spans="1:17" ht="20.25" customHeight="1">
      <c r="A23" s="584">
        <f>A22+1</f>
        <v>10</v>
      </c>
      <c r="B23" s="472" t="s">
        <v>724</v>
      </c>
      <c r="C23" s="477" t="s">
        <v>296</v>
      </c>
      <c r="D23" s="592" t="s">
        <v>723</v>
      </c>
      <c r="E23" s="27">
        <f>'6d- ADIT EOY'!C54-'6d- ADIT EOY'!C50</f>
        <v>0</v>
      </c>
      <c r="F23" s="27">
        <f>'6d- ADIT EOY'!E54-'6d- ADIT EOY'!E50</f>
        <v>0</v>
      </c>
      <c r="G23" s="27">
        <f>'6d- ADIT EOY'!F54-'6d- ADIT EOY'!F50</f>
        <v>0</v>
      </c>
      <c r="H23" s="27">
        <f>'6d- ADIT EOY'!G54-'6d- ADIT EOY'!G50</f>
        <v>0</v>
      </c>
      <c r="I23" s="593"/>
    </row>
    <row r="24" spans="1:17" ht="20.25" customHeight="1">
      <c r="A24" s="584">
        <f t="shared" ref="A24:A25" si="1">A23+1</f>
        <v>11</v>
      </c>
      <c r="B24" s="472" t="s">
        <v>725</v>
      </c>
      <c r="C24" s="477" t="s">
        <v>296</v>
      </c>
      <c r="D24" s="592" t="str">
        <f>D23</f>
        <v>-</v>
      </c>
      <c r="E24" s="27">
        <f>'6b-ADIT Projection Proration'!F22</f>
        <v>-2037843.5272546241</v>
      </c>
      <c r="F24" s="27">
        <f>'6b-ADIT Projection Proration'!H22</f>
        <v>-1573221.8836134321</v>
      </c>
      <c r="G24" s="27">
        <f>'6b-ADIT Projection Proration'!J22</f>
        <v>0</v>
      </c>
      <c r="H24" s="27">
        <f>'6b-ADIT Projection Proration'!L22</f>
        <v>0</v>
      </c>
      <c r="I24" s="593"/>
    </row>
    <row r="25" spans="1:17">
      <c r="A25" s="584">
        <f t="shared" si="1"/>
        <v>12</v>
      </c>
      <c r="B25" s="472" t="s">
        <v>726</v>
      </c>
      <c r="E25" s="480">
        <f>E23+E24</f>
        <v>-2037843.5272546241</v>
      </c>
      <c r="F25" s="480">
        <f t="shared" ref="F25:H25" si="2">F23+F24</f>
        <v>-1573221.8836134321</v>
      </c>
      <c r="G25" s="480">
        <f t="shared" si="2"/>
        <v>0</v>
      </c>
      <c r="H25" s="480">
        <f t="shared" si="2"/>
        <v>0</v>
      </c>
      <c r="I25" s="587"/>
    </row>
    <row r="26" spans="1:17">
      <c r="A26" s="584"/>
      <c r="G26" s="577"/>
    </row>
    <row r="27" spans="1:17" ht="20.25" customHeight="1">
      <c r="A27" s="477" t="s">
        <v>727</v>
      </c>
      <c r="G27" s="577"/>
    </row>
    <row r="28" spans="1:17" ht="20.25" customHeight="1">
      <c r="A28" s="584">
        <f>A25+1</f>
        <v>13</v>
      </c>
      <c r="B28" s="472" t="s">
        <v>728</v>
      </c>
      <c r="C28" s="477" t="s">
        <v>296</v>
      </c>
      <c r="D28" s="592" t="str">
        <f>D22</f>
        <v>-</v>
      </c>
      <c r="E28" s="27">
        <f>'6c- ADIT BOY'!C78</f>
        <v>-4390001</v>
      </c>
      <c r="F28" s="27">
        <f>'6c- ADIT BOY'!E78</f>
        <v>-4390001</v>
      </c>
      <c r="G28" s="27">
        <f>'6c- ADIT BOY'!F78</f>
        <v>0</v>
      </c>
      <c r="H28" s="27">
        <f>'6c- ADIT BOY'!G78</f>
        <v>0</v>
      </c>
      <c r="I28" s="593"/>
    </row>
    <row r="29" spans="1:17" ht="20.25" customHeight="1">
      <c r="A29" s="584">
        <f>A28+1</f>
        <v>14</v>
      </c>
      <c r="B29" s="472" t="s">
        <v>729</v>
      </c>
      <c r="C29" s="477" t="s">
        <v>296</v>
      </c>
      <c r="D29" s="592" t="str">
        <f t="shared" ref="D29:D30" si="3">D23</f>
        <v>-</v>
      </c>
      <c r="E29" s="27">
        <f>'6d- ADIT EOY'!C78-'6d- ADIT EOY'!C74</f>
        <v>0</v>
      </c>
      <c r="F29" s="27">
        <f>'6d- ADIT EOY'!E78-'6d- ADIT EOY'!E74</f>
        <v>0</v>
      </c>
      <c r="G29" s="27">
        <f>'6d- ADIT EOY'!F78-'6d- ADIT EOY'!F74</f>
        <v>0</v>
      </c>
      <c r="H29" s="27">
        <f>'6d- ADIT EOY'!G78-'6d- ADIT EOY'!G74</f>
        <v>0</v>
      </c>
      <c r="I29" s="593"/>
    </row>
    <row r="30" spans="1:17" ht="20.25" customHeight="1">
      <c r="A30" s="584">
        <f>A29+1</f>
        <v>15</v>
      </c>
      <c r="B30" s="472" t="s">
        <v>730</v>
      </c>
      <c r="C30" s="477" t="s">
        <v>296</v>
      </c>
      <c r="D30" s="592" t="str">
        <f t="shared" si="3"/>
        <v>-</v>
      </c>
      <c r="E30" s="27">
        <f>'6b-ADIT Projection Proration'!F38</f>
        <v>-3518493.4699999974</v>
      </c>
      <c r="F30" s="27">
        <f>'6b-ADIT Projection Proration'!H38</f>
        <v>-3797691.35</v>
      </c>
      <c r="G30" s="27">
        <f>'6b-ADIT Projection Proration'!J38</f>
        <v>0</v>
      </c>
      <c r="H30" s="27">
        <f>'6b-ADIT Projection Proration'!L38</f>
        <v>0</v>
      </c>
      <c r="I30" s="593"/>
    </row>
    <row r="31" spans="1:17" ht="20.25" customHeight="1">
      <c r="A31" s="584">
        <f>A30+1</f>
        <v>16</v>
      </c>
      <c r="B31" s="472" t="s">
        <v>731</v>
      </c>
      <c r="E31" s="480">
        <f>E29+E30</f>
        <v>-3518493.4699999974</v>
      </c>
      <c r="F31" s="480">
        <f t="shared" ref="F31:H31" si="4">F29+F30</f>
        <v>-3797691.35</v>
      </c>
      <c r="G31" s="480">
        <f t="shared" si="4"/>
        <v>0</v>
      </c>
      <c r="H31" s="480">
        <f t="shared" si="4"/>
        <v>0</v>
      </c>
      <c r="I31" s="594"/>
    </row>
    <row r="32" spans="1:17">
      <c r="A32" s="584"/>
      <c r="G32" s="577"/>
    </row>
    <row r="33" spans="1:9">
      <c r="A33" s="477" t="s">
        <v>702</v>
      </c>
      <c r="G33" s="577"/>
    </row>
    <row r="34" spans="1:9" ht="20.25" customHeight="1">
      <c r="A34" s="584">
        <f>A31+1</f>
        <v>17</v>
      </c>
      <c r="B34" s="472" t="s">
        <v>732</v>
      </c>
      <c r="C34" s="477" t="s">
        <v>296</v>
      </c>
      <c r="D34" s="592" t="str">
        <f>D28</f>
        <v>-</v>
      </c>
      <c r="E34" s="27">
        <f>'6c- ADIT BOY'!C32</f>
        <v>171359</v>
      </c>
      <c r="F34" s="27">
        <f>'6c- ADIT BOY'!E32</f>
        <v>171359</v>
      </c>
      <c r="G34" s="27">
        <f>'6c- ADIT BOY'!F32</f>
        <v>0</v>
      </c>
      <c r="H34" s="27">
        <f>'6c- ADIT BOY'!G32</f>
        <v>0</v>
      </c>
      <c r="I34" s="593"/>
    </row>
    <row r="35" spans="1:9" ht="20.25" customHeight="1">
      <c r="A35" s="584">
        <f>A34+1</f>
        <v>18</v>
      </c>
      <c r="B35" s="472" t="s">
        <v>733</v>
      </c>
      <c r="C35" s="477" t="s">
        <v>296</v>
      </c>
      <c r="D35" s="592" t="str">
        <f t="shared" ref="D35:D36" si="5">D29</f>
        <v>-</v>
      </c>
      <c r="E35" s="27">
        <f>'6d- ADIT EOY'!C32-'6d- ADIT EOY'!C28</f>
        <v>217053</v>
      </c>
      <c r="F35" s="27">
        <f>'6d- ADIT EOY'!E32-'6d- ADIT EOY'!E28</f>
        <v>217053</v>
      </c>
      <c r="G35" s="27">
        <f>'6d- ADIT EOY'!F32-'6d- ADIT EOY'!F28</f>
        <v>0</v>
      </c>
      <c r="H35" s="27">
        <f>'6d- ADIT EOY'!G32-'6d- ADIT EOY'!G28</f>
        <v>0</v>
      </c>
      <c r="I35" s="593"/>
    </row>
    <row r="36" spans="1:9" ht="20.25" customHeight="1">
      <c r="A36" s="584">
        <f>A35+1</f>
        <v>19</v>
      </c>
      <c r="B36" s="472" t="s">
        <v>734</v>
      </c>
      <c r="C36" s="477" t="s">
        <v>296</v>
      </c>
      <c r="D36" s="592" t="str">
        <f t="shared" si="5"/>
        <v>-</v>
      </c>
      <c r="E36" s="27">
        <f>'6b-ADIT Projection Proration'!F54</f>
        <v>0</v>
      </c>
      <c r="F36" s="27">
        <f>'6b-ADIT Projection Proration'!H54</f>
        <v>0</v>
      </c>
      <c r="G36" s="27">
        <f>'6b-ADIT Projection Proration'!J54</f>
        <v>0</v>
      </c>
      <c r="H36" s="27">
        <f>'6b-ADIT Projection Proration'!L54</f>
        <v>0</v>
      </c>
      <c r="I36" s="593"/>
    </row>
    <row r="37" spans="1:9" ht="20.25" customHeight="1">
      <c r="A37" s="584">
        <f>A36+1</f>
        <v>20</v>
      </c>
      <c r="B37" s="472" t="s">
        <v>735</v>
      </c>
      <c r="E37" s="480">
        <f>E35+E36</f>
        <v>217053</v>
      </c>
      <c r="F37" s="27">
        <f t="shared" ref="F37:H37" si="6">F35+F36</f>
        <v>217053</v>
      </c>
      <c r="G37" s="27">
        <f t="shared" si="6"/>
        <v>0</v>
      </c>
      <c r="H37" s="27">
        <f t="shared" si="6"/>
        <v>0</v>
      </c>
      <c r="I37" s="594"/>
    </row>
    <row r="38" spans="1:9">
      <c r="B38" s="477"/>
      <c r="G38" s="577"/>
    </row>
    <row r="39" spans="1:9">
      <c r="B39" s="477"/>
      <c r="G39" s="577"/>
    </row>
    <row r="40" spans="1:9">
      <c r="D40" s="382"/>
    </row>
    <row r="41" spans="1:9">
      <c r="D41" s="382"/>
    </row>
    <row r="42" spans="1:9">
      <c r="D42" s="382"/>
    </row>
    <row r="43" spans="1:9">
      <c r="D43" s="382"/>
    </row>
    <row r="44" spans="1:9">
      <c r="D44" s="382"/>
    </row>
    <row r="45" spans="1:9">
      <c r="D45" s="382"/>
    </row>
    <row r="46" spans="1:9">
      <c r="D46" s="382"/>
    </row>
    <row r="47" spans="1:9">
      <c r="D47" s="382"/>
    </row>
    <row r="48" spans="1:9">
      <c r="D48" s="382"/>
    </row>
    <row r="49" spans="2:10">
      <c r="D49" s="382"/>
    </row>
    <row r="50" spans="2:10">
      <c r="B50" s="477"/>
      <c r="D50" s="382"/>
    </row>
    <row r="51" spans="2:10">
      <c r="D51" s="382"/>
    </row>
    <row r="52" spans="2:10">
      <c r="B52" s="477"/>
      <c r="D52" s="382"/>
    </row>
    <row r="64" spans="2:10">
      <c r="J64" s="477"/>
    </row>
    <row r="156" spans="8:8">
      <c r="H156" s="595"/>
    </row>
  </sheetData>
  <mergeCells count="3">
    <mergeCell ref="A1:I1"/>
    <mergeCell ref="A2:I2"/>
    <mergeCell ref="A3:I3"/>
  </mergeCells>
  <printOptions horizontalCentered="1"/>
  <pageMargins left="0.25" right="0.25" top="0.75" bottom="0.75" header="0.3" footer="0.3"/>
  <pageSetup scale="68" orientation="landscape" r:id="rId1"/>
  <headerFooter alignWithMargins="0"/>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Appendix III</vt:lpstr>
      <vt:lpstr>1 - Revenue Credits</vt:lpstr>
      <vt:lpstr>2 - Cost Support </vt:lpstr>
      <vt:lpstr>2a - Cost Support</vt:lpstr>
      <vt:lpstr>2b - Cost Support</vt:lpstr>
      <vt:lpstr>3 - Incentives</vt:lpstr>
      <vt:lpstr>4 - Cap Adds</vt:lpstr>
      <vt:lpstr>5 - True-Up</vt:lpstr>
      <vt:lpstr>6a-ADIT Projection</vt:lpstr>
      <vt:lpstr>6b-ADIT Projection Proration</vt:lpstr>
      <vt:lpstr>6c- ADIT BOY</vt:lpstr>
      <vt:lpstr>6d- ADIT EOY</vt:lpstr>
      <vt:lpstr>6e-ADIT True-up</vt:lpstr>
      <vt:lpstr>6f-ADIT True-up Proration</vt:lpstr>
      <vt:lpstr>7 - Unfunded Reserves</vt:lpstr>
      <vt:lpstr>8 - CWIP</vt:lpstr>
      <vt:lpstr>9- Depreciation Rates</vt:lpstr>
      <vt:lpstr>10 - Future Use</vt:lpstr>
      <vt:lpstr>11 - Reg. Assets and Abnd Plnt</vt:lpstr>
      <vt:lpstr>12 - Income Tax Adjustment</vt:lpstr>
      <vt:lpstr>'1 - Revenue Credits'!Print_Area</vt:lpstr>
      <vt:lpstr>'2 - Cost Support '!Print_Area</vt:lpstr>
      <vt:lpstr>'2b - Cost Support'!Print_Area</vt:lpstr>
      <vt:lpstr>'4 - Cap Adds'!Print_Area</vt:lpstr>
      <vt:lpstr>'6a-ADIT Projection'!Print_Area</vt:lpstr>
      <vt:lpstr>'6b-ADIT Projection Proration'!Print_Area</vt:lpstr>
      <vt:lpstr>'6c- ADIT BOY'!Print_Area</vt:lpstr>
      <vt:lpstr>'6d- ADIT EOY'!Print_Area</vt:lpstr>
      <vt:lpstr>'6e-ADIT True-up'!Print_Area</vt:lpstr>
      <vt:lpstr>'6f-ADIT True-up Proration'!Print_Area</vt:lpstr>
      <vt:lpstr>'7 - Unfunded Reserves'!Print_Area</vt:lpstr>
      <vt:lpstr>'8 - CWIP'!Print_Area</vt:lpstr>
      <vt:lpstr>'Appendix III'!Print_Area</vt:lpstr>
      <vt:lpstr>'6a-ADIT Projection'!Print_Titles</vt:lpstr>
      <vt:lpstr>'6b-ADIT Projection Proration'!Print_Titles</vt:lpstr>
      <vt:lpstr>'6e-ADIT True-up'!Print_Titles</vt:lpstr>
      <vt:lpstr>'6f-ADIT True-up Proration'!Print_Titles</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Ioannides, Kimberly</dc:creator>
  <cp:lastModifiedBy>Ioannides, Kimberly</cp:lastModifiedBy>
  <dcterms:created xsi:type="dcterms:W3CDTF">2024-04-02T16:49:01Z</dcterms:created>
  <dcterms:modified xsi:type="dcterms:W3CDTF">2024-04-02T17:06:58Z</dcterms:modified>
</cp:coreProperties>
</file>