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pmisf05\vol7\_Horizon West\Horizon West FERC Filings\Formula Rate Projections\2020 Formula rate - Actuals for TU\"/>
    </mc:Choice>
  </mc:AlternateContent>
  <xr:revisionPtr revIDLastSave="0" documentId="13_ncr:1_{5B1F29F7-30EB-4C21-BA11-CB9A4291A927}" xr6:coauthVersionLast="45" xr6:coauthVersionMax="45" xr10:uidLastSave="{00000000-0000-0000-0000-000000000000}"/>
  <bookViews>
    <workbookView xWindow="-120" yWindow="-120" windowWidth="29040" windowHeight="15840" tabRatio="910" xr2:uid="{873FB2CD-D698-48A5-8A45-725F4A4A1CEA}"/>
  </bookViews>
  <sheets>
    <sheet name="Appendix III" sheetId="1" r:id="rId1"/>
    <sheet name="1 - Revenue Credits" sheetId="2" r:id="rId2"/>
    <sheet name="2 - Cost Support " sheetId="3" r:id="rId3"/>
    <sheet name="2a - Cost Support" sheetId="4" r:id="rId4"/>
    <sheet name="2b - Cost Support" sheetId="5" r:id="rId5"/>
    <sheet name="3 - Incentives" sheetId="6" r:id="rId6"/>
    <sheet name="4 - Cap Adds" sheetId="7" r:id="rId7"/>
    <sheet name="5 - True-Up" sheetId="8" r:id="rId8"/>
    <sheet name="6a-ADIT Projection" sheetId="9" r:id="rId9"/>
    <sheet name="6b-ADIT Projection Proration" sheetId="10" r:id="rId10"/>
    <sheet name="6c- ADIT BOY" sheetId="11" r:id="rId11"/>
    <sheet name="6d- ADIT EOY" sheetId="12" r:id="rId12"/>
    <sheet name="6e-ADIT True-up" sheetId="13" r:id="rId13"/>
    <sheet name="6f-ADIT True-up Proration" sheetId="14" r:id="rId14"/>
    <sheet name="7 - Unfunded Reserves" sheetId="15" r:id="rId15"/>
    <sheet name="8 - CWIP" sheetId="16" r:id="rId16"/>
    <sheet name="9- Depreciation Rates" sheetId="17" r:id="rId17"/>
    <sheet name="10 - Future Use" sheetId="18" r:id="rId18"/>
    <sheet name="11 - Reg. Assets and Abnd Plnt" sheetId="19" r:id="rId19"/>
    <sheet name="12 - Income Tax Adjustment" sheetId="20"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sdf"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sdf"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___Q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___Q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__123Graph_A" hidden="1">#REF!</definedName>
    <definedName name="__123Graph_B" hidden="1">#REF!</definedName>
    <definedName name="__123Graph_C" hidden="1">#REF!</definedName>
    <definedName name="__123Graph_E" hidden="1">#REF!</definedName>
    <definedName name="__123Graph_X" hidden="1">#REF!</definedName>
    <definedName name="__WSH7">#REF!</definedName>
    <definedName name="_101__123Graph_BCHART_2" hidden="1">'[2]Subs Backlog'!$N$68:$N$74</definedName>
    <definedName name="_104__123Graph_BCHART_20" hidden="1">'[2]GPS vs Emb GM'!$P$11:$R$11</definedName>
    <definedName name="_107__123Graph_BCHART_3" hidden="1">'[2]GPS vs Emb GM'!$P$10:$R$10</definedName>
    <definedName name="_110__123Graph_BCHART_6" hidden="1">'[2]Subs Backlog'!$AE$67:$AE$73</definedName>
    <definedName name="_113__123Graph_BCHART_7" hidden="1">'[2]GPS vs Emb GM'!$P$45:$R$45</definedName>
    <definedName name="_116__123Graph_BCHART_8" hidden="1">'[2]Subs Backlog'!$N$68:$N$75</definedName>
    <definedName name="_119__123Graph_BCHART_9" hidden="1">'[2]GPS vs Emb GM'!$P$7:$T$7</definedName>
    <definedName name="_122__123Graph_CCHART_1" hidden="1">'[2]Subs Backlog'!$E$68:$E$74</definedName>
    <definedName name="_125__123Graph_CCHART_11" hidden="1">'[2]GPS vs Emb GM'!$P$16:$T$16</definedName>
    <definedName name="_128__123Graph_CCHART_12" hidden="1">'[2]Subs Backlog'!$O$68:$O$76</definedName>
    <definedName name="_131__123Graph_CCHART_2" hidden="1">'[2]Subs Backlog'!$O$68:$O$74</definedName>
    <definedName name="_134__123Graph_CCHART_20" hidden="1">'[2]GPS vs Emb GM'!$P$12:$R$12</definedName>
    <definedName name="_137__123Graph_CCHART_7" hidden="1">'[2]GPS vs Emb GM'!$P$46:$R$46</definedName>
    <definedName name="_140__123Graph_CCHART_8" hidden="1">'[2]Subs Backlog'!$O$68:$O$75</definedName>
    <definedName name="_143__123Graph_DCHART_1" hidden="1">'[2]Subs Backlog'!$F$68:$F$74</definedName>
    <definedName name="_146__123Graph_DCHART_12" hidden="1">'[2]Subs Backlog'!$P$68:$P$76</definedName>
    <definedName name="_149__123Graph_DCHART_2" hidden="1">'[2]Subs Backlog'!$P$68:$P$74</definedName>
    <definedName name="_152__123Graph_DCHART_8" hidden="1">'[2]Subs Backlog'!$P$68:$P$75</definedName>
    <definedName name="_155__123Graph_ECHART_12" hidden="1">'[2]Subs Backlog'!$Q$68:$Q$76</definedName>
    <definedName name="_158__123Graph_ECHART_2" hidden="1">'[2]Subs Backlog'!$Q$68:$Q$74</definedName>
    <definedName name="_161__123Graph_ECHART_8" hidden="1">'[2]Subs Backlog'!$Q$68:$Q$75</definedName>
    <definedName name="_164__123Graph_FCHART_1" hidden="1">'[2]Subs Backlog'!$G$68:$G$74</definedName>
    <definedName name="_167__123Graph_XCHART_10" hidden="1">'[2]Subs Backlog'!$AA$67:$AA$74</definedName>
    <definedName name="_17__123Graph_ACHART_1" hidden="1">'[2]Subs Backlog'!$C$68:$C$74</definedName>
    <definedName name="_170__123Graph_XCHART_11" hidden="1">'[2]Subs Backlog'!$AA$67:$AA$74</definedName>
    <definedName name="_173__123Graph_XCHART_12" hidden="1">'[2]Subs Backlog'!$L$68:$L$76</definedName>
    <definedName name="_176__123Graph_XCHART_13" hidden="1">'[2]Subs Backlog'!$AA$67:$AA$75</definedName>
    <definedName name="_179__123Graph_XCHART_14" hidden="1">'[2]Subs Backlog'!$AA$67:$AA$75</definedName>
    <definedName name="_182__123Graph_XCHART_15" hidden="1">'[2]Subs Backlog'!$AA$67:$AA$75</definedName>
    <definedName name="_185__123Graph_XCHART_16" hidden="1">'[2]GPS vs Emb GM'!$Q$48:$S$48</definedName>
    <definedName name="_188__123Graph_XCHART_18" hidden="1">'[2]GPS vs Emb GM'!$P$81:$R$81</definedName>
    <definedName name="_191__123Graph_XCHART_2" hidden="1">'[2]Subs Backlog'!$L$68:$L$74</definedName>
    <definedName name="_194__123Graph_XCHART_20" hidden="1">'[2]GPS vs Emb GM'!$P$9:$R$9</definedName>
    <definedName name="_197__123Graph_XCHART_3" hidden="1">'[2]Subs Backlog'!$K$258:$K$264</definedName>
    <definedName name="_1E_1">#N/A</definedName>
    <definedName name="_20__123Graph_ACHART_10" hidden="1">'[2]Subs Backlog'!$AD$67:$AD$74</definedName>
    <definedName name="_200__123Graph_XCHART_4" hidden="1">'[2]Subs Backlog'!$O$258:$O$264</definedName>
    <definedName name="_203__123Graph_XCHART_5" hidden="1">'[2]Subs Backlog'!$AA$67:$AA$73</definedName>
    <definedName name="_206__123Graph_XCHART_6" hidden="1">'[2]Subs Backlog'!$AA$67:$AA$73</definedName>
    <definedName name="_209__123Graph_XCHART_7" hidden="1">'[2]Subs Backlog'!$AA$67:$AA$73</definedName>
    <definedName name="_212__123Graph_XCHART_8" hidden="1">'[2]Subs Backlog'!$L$68:$L$75</definedName>
    <definedName name="_215__123Graph_XCHART_9" hidden="1">'[2]Subs Backlog'!$AA$67:$AA$74</definedName>
    <definedName name="_23__123Graph_ACHART_11" hidden="1">'[2]Subs Backlog'!$AF$67:$AF$74</definedName>
    <definedName name="_26__123Graph_ACHART_12" hidden="1">'[2]Subs Backlog'!$M$68:$M$76</definedName>
    <definedName name="_29__123Graph_ACHART_13" hidden="1">'[2]Subs Backlog'!$AC$67:$AC$75</definedName>
    <definedName name="_31_Dec_00" localSheetId="19">#REF!</definedName>
    <definedName name="_31_Dec_00">#REF!</definedName>
    <definedName name="_31_Jan_01" localSheetId="19">#REF!</definedName>
    <definedName name="_31_Jan_01">#REF!</definedName>
    <definedName name="_32__123Graph_ACHART_14" hidden="1">'[2]Subs Backlog'!$AD$67:$AD$75</definedName>
    <definedName name="_35__123Graph_ACHART_15" hidden="1">'[2]Subs Backlog'!$AF$67:$AF$75</definedName>
    <definedName name="_38__123Graph_ACHART_16" hidden="1">'[2]GPS vs Emb GM'!$Q$49:$S$49</definedName>
    <definedName name="_41__123Graph_ACHART_17" hidden="1">'[2]GPS vs Emb GM'!$P$77:$R$77</definedName>
    <definedName name="_44__123Graph_ACHART_18" hidden="1">'[2]GPS vs Emb GM'!$P$82:$R$82</definedName>
    <definedName name="_47__123Graph_ACHART_19" hidden="1">'[2]GPS vs Emb GM'!$P$7:$R$7</definedName>
    <definedName name="_50__123Graph_ACHART_2" hidden="1">'[2]Subs Backlog'!$M$68:$M$74</definedName>
    <definedName name="_53__123Graph_ACHART_20" hidden="1">'[2]GPS vs Emb GM'!$P$10:$R$10</definedName>
    <definedName name="_56__123Graph_ACHART_3" hidden="1">'[2]Subs Backlog'!$L$258:$L$264</definedName>
    <definedName name="_59__123Graph_ACHART_4" hidden="1">'[2]Subs Backlog'!$P$258:$P$264</definedName>
    <definedName name="_62__123Graph_ACHART_5" hidden="1">'[2]Subs Backlog'!$AD$67:$AD$73</definedName>
    <definedName name="_65__123Graph_ACHART_6" hidden="1">'[2]Subs Backlog'!$AF$67:$AF$73</definedName>
    <definedName name="_68__123Graph_ACHART_7" hidden="1">'[2]Subs Backlog'!$AC$67:$AC$73</definedName>
    <definedName name="_71__123Graph_ACHART_8" hidden="1">'[2]Subs Backlog'!$M$68:$M$75</definedName>
    <definedName name="_74__123Graph_ACHART_9" hidden="1">'[2]Subs Backlog'!$AC$67:$AC$74</definedName>
    <definedName name="_77__123Graph_BCHART_1" hidden="1">'[2]Subs Backlog'!$D$68:$D$74</definedName>
    <definedName name="_80__123Graph_BCHART_11" hidden="1">'[2]Subs Backlog'!$AE$67:$AE$74</definedName>
    <definedName name="_83__123Graph_BCHART_12" hidden="1">'[2]Subs Backlog'!$N$68:$N$76</definedName>
    <definedName name="_86__123Graph_BCHART_13" hidden="1">'[2]GPS vs Emb GM'!$Q$42:$W$42</definedName>
    <definedName name="_89__123Graph_BCHART_14" hidden="1">'[2]GPS vs Emb GM'!$Q$46:$W$46</definedName>
    <definedName name="_92__123Graph_BCHART_15" hidden="1">'[2]Subs Backlog'!$AE$67:$AE$75</definedName>
    <definedName name="_95__123Graph_BCHART_16" hidden="1">'[2]GPS vs Emb GM'!$Q$50:$S$50</definedName>
    <definedName name="_98__123Graph_BCHART_17" hidden="1">'[2]GPS vs Emb GM'!$P$78:$R$78</definedName>
    <definedName name="_AMO_UniqueIdentifier" hidden="1">"'8403d099-e876-4d31-b913-cb2efff0232f'"</definedName>
    <definedName name="_BB1"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_BB1"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_Fill" localSheetId="19" hidden="1">#REF!</definedName>
    <definedName name="_Fill" localSheetId="8" hidden="1">#REF!</definedName>
    <definedName name="_Fill" localSheetId="9" hidden="1">#REF!</definedName>
    <definedName name="_Fill" localSheetId="12" hidden="1">#REF!</definedName>
    <definedName name="_Fill" localSheetId="13" hidden="1">#REF!</definedName>
    <definedName name="_Fill" hidden="1">#REF!</definedName>
    <definedName name="_xlnm._FilterDatabase" hidden="1">#REF!</definedName>
    <definedName name="_Key1" hidden="1">#REF!</definedName>
    <definedName name="_Key2" hidden="1">#REF!</definedName>
    <definedName name="_Order1" hidden="1">255</definedName>
    <definedName name="_Order2" hidden="1">255</definedName>
    <definedName name="_Q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_Q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_Regression_Int">1</definedName>
    <definedName name="_Regression_Out" hidden="1">#REF!</definedName>
    <definedName name="_Regression_X" hidden="1">#REF!</definedName>
    <definedName name="_Regression_Y" hidden="1">#REF!</definedName>
    <definedName name="_Sort" hidden="1">#REF!</definedName>
    <definedName name="_Table1_Out" hidden="1">#REF!</definedName>
    <definedName name="_te1"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_te1"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_te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_te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_te3" localSheetId="19"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_te3"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_te4"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_te4"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_wrn1" localSheetId="19" hidden="1">{#N/A,#N/A,FALSE,"MBR PCS";#N/A,#N/A,FALSE,"MBR CIG";#N/A,#N/A,FALSE,"MBR iDEN";#N/A,#N/A,FALSE,"MBR_FWT";#N/A,#N/A,FALSE,"MBR TOTAL"}</definedName>
    <definedName name="_wrn1" hidden="1">{#N/A,#N/A,FALSE,"MBR PCS";#N/A,#N/A,FALSE,"MBR CIG";#N/A,#N/A,FALSE,"MBR iDEN";#N/A,#N/A,FALSE,"MBR_FWT";#N/A,#N/A,FALSE,"MBR TOTAL"}</definedName>
    <definedName name="_WSH7">#REF!</definedName>
    <definedName name="_xx" hidden="1">#REF!</definedName>
    <definedName name="aaa" localSheetId="19" hidden="1">{#N/A,#N/A,FALSE,"O&amp;M by processes";#N/A,#N/A,FALSE,"Elec Act vs Bud";#N/A,#N/A,FALSE,"G&amp;A";#N/A,#N/A,FALSE,"BGS";#N/A,#N/A,FALSE,"Res Cost"}</definedName>
    <definedName name="aaa" localSheetId="13" hidden="1">{#N/A,#N/A,FALSE,"O&amp;M by processes";#N/A,#N/A,FALSE,"Elec Act vs Bud";#N/A,#N/A,FALSE,"G&amp;A";#N/A,#N/A,FALSE,"BGS";#N/A,#N/A,FALSE,"Res Cost"}</definedName>
    <definedName name="aaa" hidden="1">{#N/A,#N/A,FALSE,"O&amp;M by processes";#N/A,#N/A,FALSE,"Elec Act vs Bud";#N/A,#N/A,FALSE,"G&amp;A";#N/A,#N/A,FALSE,"BGS";#N/A,#N/A,FALSE,"Res Cost"}</definedName>
    <definedName name="aaaaaaaaaaaaaaa" localSheetId="19" hidden="1">{#N/A,#N/A,FALSE,"O&amp;M by processes";#N/A,#N/A,FALSE,"Elec Act vs Bud";#N/A,#N/A,FALSE,"G&amp;A";#N/A,#N/A,FALSE,"BGS";#N/A,#N/A,FALSE,"Res Cost"}</definedName>
    <definedName name="aaaaaaaaaaaaaaa" localSheetId="13" hidden="1">{#N/A,#N/A,FALSE,"O&amp;M by processes";#N/A,#N/A,FALSE,"Elec Act vs Bud";#N/A,#N/A,FALSE,"G&amp;A";#N/A,#N/A,FALSE,"BGS";#N/A,#N/A,FALSE,"Res Cost"}</definedName>
    <definedName name="aaaaaaaaaaaaaaa" hidden="1">{#N/A,#N/A,FALSE,"O&amp;M by processes";#N/A,#N/A,FALSE,"Elec Act vs Bud";#N/A,#N/A,FALSE,"G&amp;A";#N/A,#N/A,FALSE,"BGS";#N/A,#N/A,FALSE,"Res Cost"}</definedName>
    <definedName name="ab"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ab"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Account_List">[3]!Accounts[Account]</definedName>
    <definedName name="ACwvu.earnings." hidden="1">#REF!</definedName>
    <definedName name="ACwvu.OP." hidden="1">#REF!</definedName>
    <definedName name="adas" localSheetId="19" hidden="1">{#N/A,#N/A,FALSE,"Balance SPS";#N/A,#N/A,FALSE,"P&amp;L_SPS"}</definedName>
    <definedName name="adas" hidden="1">{#N/A,#N/A,FALSE,"Balance SPS";#N/A,#N/A,FALSE,"P&amp;L_SPS"}</definedName>
    <definedName name="adsfds"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adsfds"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ag"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Inventory";#N/A,#N/A,FALSE,"FWT Inventory";#N/A,#N/A,FALSE,"CIG Inventory";#N/A,#N/A,FALSE,"Capital Expenditures";#N/A,#N/A,FALSE,"FM CIG";#N/A,#N/A,FALSE,"NSAD ASP CIG";#N/A,#N/A,FALSE,"FM iDEN";#N/A,#N/A,FALSE,"NSAD IDEN";#N/A,#N/A,FALSE,"IDEN Mrg Analysis";#N/A,#N/A,FALSE,"R&amp;D  Report";#N/A,#N/A,FALSE,"Mrg A. iDEN"}</definedName>
    <definedName name="ag"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Inventory";#N/A,#N/A,FALSE,"FWT Inventory";#N/A,#N/A,FALSE,"CIG Inventory";#N/A,#N/A,FALSE,"Capital Expenditures";#N/A,#N/A,FALSE,"FM CIG";#N/A,#N/A,FALSE,"NSAD ASP CIG";#N/A,#N/A,FALSE,"FM iDEN";#N/A,#N/A,FALSE,"NSAD IDEN";#N/A,#N/A,FALSE,"IDEN Mrg Analysis";#N/A,#N/A,FALSE,"R&amp;D  Report";#N/A,#N/A,FALSE,"Mrg A. iDEN"}</definedName>
    <definedName name="agfd" localSheetId="19" hidden="1">{#N/A,#N/A,FALSE,"Balance SPS";#N/A,#N/A,FALSE,"P&amp;L_SPS"}</definedName>
    <definedName name="agfd" hidden="1">{#N/A,#N/A,FALSE,"Balance SPS";#N/A,#N/A,FALSE,"P&amp;L_SPS"}</definedName>
    <definedName name="Alignment" hidden="1">"a1"</definedName>
    <definedName name="anscount" hidden="1">1</definedName>
    <definedName name="are"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are"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as" localSheetId="19" hidden="1">{#N/A,#N/A,FALSE,"BACK UP CIG"}</definedName>
    <definedName name="as" hidden="1">{#N/A,#N/A,FALSE,"BACK UP CIG"}</definedName>
    <definedName name="AS2DocOpenMode" hidden="1">"AS2DocumentEdit"</definedName>
    <definedName name="asa"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asa"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asda"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asda"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asdad" localSheetId="19" hidden="1">{#N/A,#N/A,FALSE,"MBR PCS";#N/A,#N/A,FALSE,"MBR CIG";#N/A,#N/A,FALSE,"MBR iDEN";#N/A,#N/A,FALSE,"MBR_FWT";#N/A,#N/A,FALSE,"MBR TOTAL"}</definedName>
    <definedName name="asdad" hidden="1">{#N/A,#N/A,FALSE,"MBR PCS";#N/A,#N/A,FALSE,"MBR CIG";#N/A,#N/A,FALSE,"MBR iDEN";#N/A,#N/A,FALSE,"MBR_FWT";#N/A,#N/A,FALSE,"MBR TOTAL"}</definedName>
    <definedName name="asdaf"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asdaf"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asdas" localSheetId="19" hidden="1">{#N/A,#N/A,TRUE,"Cover";#N/A,#N/A,TRUE,"Comments PCS";#N/A,#N/A,TRUE,"Comments CIG";#N/A,#N/A,TRUE,"Comments IDEN";#N/A,#N/A,TRUE,"BS PCS";#N/A,#N/A,TRUE,"BS CIG";#N/A,#N/A,TRUE,"BS IDEN";#N/A,#N/A,TRUE,"BS TOTAL";#N/A,#N/A,TRUE,"BS_ESG ";#N/A,#N/A,TRUE,"Balance SPS";#N/A,#N/A,TRUE,"BS_CORPORATE";#N/A,#N/A,TRUE,"P&amp;L PCS";#N/A,#N/A,TRUE,"P&amp;L FWT";#N/A,#N/A,TRUE,"P&amp;L CIG";#N/A,#N/A,TRUE,"P&amp;L IDEN";#N/A,#N/A,TRUE,"P&amp;L TOTAL";#N/A,#N/A,TRUE,"P&amp;L_SPS";#N/A,#N/A,TRUE,"P&amp;L_ESG";#N/A,#N/A,TRUE,"P&amp;L_CORP";#N/A,#N/A,TRUE,"Cash Flow PCS";#N/A,#N/A,TRUE,"Cash Flow CIG";#N/A,#N/A,TRUE,"Cash Flow IDEN";#N/A,#N/A,TRUE,"Cash Flow TOTAL";#N/A,#N/A,TRUE,"MBR PCS";#N/A,#N/A,TRUE,"MBR CIG";#N/A,#N/A,TRUE,"MBR iDEN";#N/A,#N/A,TRUE,"MBR_FWT";#N/A,#N/A,TRUE,"MBR TOTAL";#N/A,#N/A,TRUE,"Headcount_PCS ";#N/A,#N/A,TRUE,"Headcount CIG";#N/A,#N/A,TRUE,"Headcount iDEN";#N/A,#N/A,TRUE,"JAG PLANT TREND";#N/A,#N/A,TRUE,"FAB UN CSG ";#N/A,#N/A,TRUE,"FAB UN CIG";#N/A,#N/A,TRUE,"FAB UN PPG";#N/A,#N/A,TRUE,"FAB UN IDEN";#N/A,#N/A,TRUE,"FAB UN FWT";#N/A,#N/A,TRUE,"CSS MFG";#N/A,#N/A,TRUE,"CSS Distr";#N/A,#N/A,TRUE,"CSG 6-Up Charts";#N/A,#N/A,TRUE,"CIG MFG";#N/A,#N/A,TRUE,"IDEN MFG";#N/A,#N/A,TRUE,"IDEN 6-Up Charts  ";#N/A,#N/A,TRUE,"FWT MFG";#N/A,#N/A,TRUE,"FWT 6-Up Charts ";#N/A,#N/A,TRUE,"PCS Inventory";#N/A,#N/A,TRUE,"CIG Inventory";#N/A,#N/A,TRUE,"IDEN Inventory";#N/A,#N/A,TRUE,"FWT Inventory";#N/A,#N/A,TRUE,"CE JAG Inventory";#N/A,#N/A,TRUE,"Capital Expenditures";#N/A,#N/A,TRUE,"FM CSG";#N/A,#N/A,TRUE,"NSAD ASP CGS";#N/A,#N/A,TRUE,"FM CIG";#N/A,#N/A,TRUE,"NSAD ASP CIG";#N/A,#N/A,TRUE,"FM iDEN";#N/A,#N/A,TRUE,"NSAD IDEN";#N/A,#N/A,TRUE,"R&amp;D  Report";#N/A,#N/A,TRUE,"PCS Credit";#N/A,#N/A,TRUE,"PCS Mrg Analysis";#N/A,#N/A,TRUE,"Dpc Tango";#N/A,#N/A,TRUE,"Startac Analog";#N/A,#N/A,TRUE,"Mercury CDMA";#N/A,#N/A,TRUE,"Startac CDMA";#N/A,#N/A,TRUE,"Startac TDMA";#N/A,#N/A,TRUE,"Modulus TDMA";#N/A,#N/A,TRUE,"CIG Mrg Analysis";#N/A,#N/A,TRUE,"IDEN Mrg Analysis"}</definedName>
    <definedName name="asdas" hidden="1">{#N/A,#N/A,TRUE,"Cover";#N/A,#N/A,TRUE,"Comments PCS";#N/A,#N/A,TRUE,"Comments CIG";#N/A,#N/A,TRUE,"Comments IDEN";#N/A,#N/A,TRUE,"BS PCS";#N/A,#N/A,TRUE,"BS CIG";#N/A,#N/A,TRUE,"BS IDEN";#N/A,#N/A,TRUE,"BS TOTAL";#N/A,#N/A,TRUE,"BS_ESG ";#N/A,#N/A,TRUE,"Balance SPS";#N/A,#N/A,TRUE,"BS_CORPORATE";#N/A,#N/A,TRUE,"P&amp;L PCS";#N/A,#N/A,TRUE,"P&amp;L FWT";#N/A,#N/A,TRUE,"P&amp;L CIG";#N/A,#N/A,TRUE,"P&amp;L IDEN";#N/A,#N/A,TRUE,"P&amp;L TOTAL";#N/A,#N/A,TRUE,"P&amp;L_SPS";#N/A,#N/A,TRUE,"P&amp;L_ESG";#N/A,#N/A,TRUE,"P&amp;L_CORP";#N/A,#N/A,TRUE,"Cash Flow PCS";#N/A,#N/A,TRUE,"Cash Flow CIG";#N/A,#N/A,TRUE,"Cash Flow IDEN";#N/A,#N/A,TRUE,"Cash Flow TOTAL";#N/A,#N/A,TRUE,"MBR PCS";#N/A,#N/A,TRUE,"MBR CIG";#N/A,#N/A,TRUE,"MBR iDEN";#N/A,#N/A,TRUE,"MBR_FWT";#N/A,#N/A,TRUE,"MBR TOTAL";#N/A,#N/A,TRUE,"Headcount_PCS ";#N/A,#N/A,TRUE,"Headcount CIG";#N/A,#N/A,TRUE,"Headcount iDEN";#N/A,#N/A,TRUE,"JAG PLANT TREND";#N/A,#N/A,TRUE,"FAB UN CSG ";#N/A,#N/A,TRUE,"FAB UN CIG";#N/A,#N/A,TRUE,"FAB UN PPG";#N/A,#N/A,TRUE,"FAB UN IDEN";#N/A,#N/A,TRUE,"FAB UN FWT";#N/A,#N/A,TRUE,"CSS MFG";#N/A,#N/A,TRUE,"CSS Distr";#N/A,#N/A,TRUE,"CSG 6-Up Charts";#N/A,#N/A,TRUE,"CIG MFG";#N/A,#N/A,TRUE,"IDEN MFG";#N/A,#N/A,TRUE,"IDEN 6-Up Charts  ";#N/A,#N/A,TRUE,"FWT MFG";#N/A,#N/A,TRUE,"FWT 6-Up Charts ";#N/A,#N/A,TRUE,"PCS Inventory";#N/A,#N/A,TRUE,"CIG Inventory";#N/A,#N/A,TRUE,"IDEN Inventory";#N/A,#N/A,TRUE,"FWT Inventory";#N/A,#N/A,TRUE,"CE JAG Inventory";#N/A,#N/A,TRUE,"Capital Expenditures";#N/A,#N/A,TRUE,"FM CSG";#N/A,#N/A,TRUE,"NSAD ASP CGS";#N/A,#N/A,TRUE,"FM CIG";#N/A,#N/A,TRUE,"NSAD ASP CIG";#N/A,#N/A,TRUE,"FM iDEN";#N/A,#N/A,TRUE,"NSAD IDEN";#N/A,#N/A,TRUE,"R&amp;D  Report";#N/A,#N/A,TRUE,"PCS Credit";#N/A,#N/A,TRUE,"PCS Mrg Analysis";#N/A,#N/A,TRUE,"Dpc Tango";#N/A,#N/A,TRUE,"Startac Analog";#N/A,#N/A,TRUE,"Mercury CDMA";#N/A,#N/A,TRUE,"Startac CDMA";#N/A,#N/A,TRUE,"Startac TDMA";#N/A,#N/A,TRUE,"Modulus TDMA";#N/A,#N/A,TRUE,"CIG Mrg Analysis";#N/A,#N/A,TRUE,"IDEN Mrg Analysis"}</definedName>
    <definedName name="asdasd" localSheetId="19"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asdasd"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asdasdas" localSheetId="19" hidden="1">{#N/A,#N/A,FALSE,"Headcount_PCS ";#N/A,#N/A,FALSE,"Headcount CIG";#N/A,#N/A,FALSE,"Headcount iDEN";#N/A,#N/A,FALSE,"JAG PLANT TREND"}</definedName>
    <definedName name="asdasdas" hidden="1">{#N/A,#N/A,FALSE,"Headcount_PCS ";#N/A,#N/A,FALSE,"Headcount CIG";#N/A,#N/A,FALSE,"Headcount iDEN";#N/A,#N/A,FALSE,"JAG PLANT TREND"}</definedName>
    <definedName name="ASDF" localSheetId="19" hidden="1">{TRUE,TRUE,-1.25,-15.5,604.5,343.5,FALSE,FALSE,TRUE,TRUE,0,1,2,1,13,1,4,4,TRUE,TRUE,3,TRUE,1,TRUE,80,"Swvu.qtr._.for._.IR.","ACwvu.qtr._.for._.IR.",#N/A,FALSE,FALSE,0.65,0.5,1.25,1,2,"","",TRUE,FALSE,FALSE,FALSE,1,#N/A,1,1,"=R1C1:R33C11",FALSE,#N/A,#N/A,FALSE,FALSE,FALSE,1,#N/A,#N/A,FALSE,FALSE,TRUE,TRUE,TRUE}</definedName>
    <definedName name="ASDF" hidden="1">{TRUE,TRUE,-1.25,-15.5,604.5,343.5,FALSE,FALSE,TRUE,TRUE,0,1,2,1,13,1,4,4,TRUE,TRUE,3,TRUE,1,TRUE,80,"Swvu.qtr._.for._.IR.","ACwvu.qtr._.for._.IR.",#N/A,FALSE,FALSE,0.65,0.5,1.25,1,2,"","",TRUE,FALSE,FALSE,FALSE,1,#N/A,1,1,"=R1C1:R33C11",FALSE,#N/A,#N/A,FALSE,FALSE,FALSE,1,#N/A,#N/A,FALSE,FALSE,TRUE,TRUE,TRUE}</definedName>
    <definedName name="asdfadsf" localSheetId="19" hidden="1">{TRUE,TRUE,-1.25,-15.5,604.5,343.5,FALSE,FALSE,TRUE,TRUE,0,1,2,1,13,1,4,4,TRUE,TRUE,3,TRUE,1,TRUE,80,"Swvu.qtr._.for._.IR.","ACwvu.qtr._.for._.IR.",#N/A,FALSE,FALSE,0.65,0.5,1.25,1,2,"","",TRUE,FALSE,FALSE,FALSE,1,#N/A,1,1,"=R1C1:R33C11",FALSE,#N/A,#N/A,FALSE,FALSE,FALSE,1,#N/A,#N/A,FALSE,FALSE,TRUE,TRUE,TRUE}</definedName>
    <definedName name="asdfadsf" hidden="1">{TRUE,TRUE,-1.25,-15.5,604.5,343.5,FALSE,FALSE,TRUE,TRUE,0,1,2,1,13,1,4,4,TRUE,TRUE,3,TRUE,1,TRUE,80,"Swvu.qtr._.for._.IR.","ACwvu.qtr._.for._.IR.",#N/A,FALSE,FALSE,0.65,0.5,1.25,1,2,"","",TRUE,FALSE,FALSE,FALSE,1,#N/A,1,1,"=R1C1:R33C11",FALSE,#N/A,#N/A,FALSE,FALSE,FALSE,1,#N/A,#N/A,FALSE,FALSE,TRUE,TRUE,TRUE}</definedName>
    <definedName name="asdgasd" localSheetId="19" hidden="1">{#N/A,#N/A,FALSE,"BS_ESG ";#N/A,#N/A,FALSE,"P&amp;L_ESG"}</definedName>
    <definedName name="asdgasd" hidden="1">{#N/A,#N/A,FALSE,"BS_ESG ";#N/A,#N/A,FALSE,"P&amp;L_ESG"}</definedName>
    <definedName name="asfda" localSheetId="19" hidden="1">{#N/A,#N/A,FALSE,"Cover";#N/A,#N/A,FALSE,"General Assumptions";#N/A,#N/A,FALSE,"Comments CIG";#N/A,#N/A,FALSE,"BS CIG";#N/A,#N/A,FALSE,"P&amp;L CIG";#N/A,#N/A,FALSE,"Cash Flow CIG";#N/A,#N/A,FALSE,"MBR CIG";#N/A,#N/A,FALSE,"Headcount - CIG";#N/A,#N/A,FALSE,"CIG MFG";#N/A,#N/A,FALSE,"CIG Inventory";#N/A,#N/A,FALSE,"Capital CIG"}</definedName>
    <definedName name="asfda" hidden="1">{#N/A,#N/A,FALSE,"Cover";#N/A,#N/A,FALSE,"General Assumptions";#N/A,#N/A,FALSE,"Comments CIG";#N/A,#N/A,FALSE,"BS CIG";#N/A,#N/A,FALSE,"P&amp;L CIG";#N/A,#N/A,FALSE,"Cash Flow CIG";#N/A,#N/A,FALSE,"MBR CIG";#N/A,#N/A,FALSE,"Headcount - CIG";#N/A,#N/A,FALSE,"CIG MFG";#N/A,#N/A,FALSE,"CIG Inventory";#N/A,#N/A,FALSE,"Capital CIG"}</definedName>
    <definedName name="awvrevrf"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awvrevrf"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awvrevrf_1"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awvrevrf_1"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awvrevrf_2"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awvrevrf_2"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awvrevrf_3"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awvrevrf_3"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awvrevrf_4"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awvrevrf_4"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awvrevrf_5"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awvrevrf_5"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Balances" localSheetId="19">#REF!</definedName>
    <definedName name="Balances">#REF!</definedName>
    <definedName name="BB"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BB"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bbb" localSheetId="19" hidden="1">{#N/A,#N/A,FALSE,"O&amp;M by processes";#N/A,#N/A,FALSE,"Elec Act vs Bud";#N/A,#N/A,FALSE,"G&amp;A";#N/A,#N/A,FALSE,"BGS";#N/A,#N/A,FALSE,"Res Cost"}</definedName>
    <definedName name="bbb" localSheetId="13" hidden="1">{#N/A,#N/A,FALSE,"O&amp;M by processes";#N/A,#N/A,FALSE,"Elec Act vs Bud";#N/A,#N/A,FALSE,"G&amp;A";#N/A,#N/A,FALSE,"BGS";#N/A,#N/A,FALSE,"Res Cost"}</definedName>
    <definedName name="bbb" hidden="1">{#N/A,#N/A,FALSE,"O&amp;M by processes";#N/A,#N/A,FALSE,"Elec Act vs Bud";#N/A,#N/A,FALSE,"G&amp;A";#N/A,#N/A,FALSE,"BGS";#N/A,#N/A,FALSE,"Res Cost"}</definedName>
    <definedName name="bbbb" localSheetId="19" hidden="1">{#N/A,#N/A,FALSE,"O&amp;M by processes";#N/A,#N/A,FALSE,"Elec Act vs Bud";#N/A,#N/A,FALSE,"G&amp;A";#N/A,#N/A,FALSE,"BGS";#N/A,#N/A,FALSE,"Res Cost"}</definedName>
    <definedName name="bbbb" localSheetId="13" hidden="1">{#N/A,#N/A,FALSE,"O&amp;M by processes";#N/A,#N/A,FALSE,"Elec Act vs Bud";#N/A,#N/A,FALSE,"G&amp;A";#N/A,#N/A,FALSE,"BGS";#N/A,#N/A,FALSE,"Res Cost"}</definedName>
    <definedName name="bbbb" hidden="1">{#N/A,#N/A,FALSE,"O&amp;M by processes";#N/A,#N/A,FALSE,"Elec Act vs Bud";#N/A,#N/A,FALSE,"G&amp;A";#N/A,#N/A,FALSE,"BGS";#N/A,#N/A,FALSE,"Res Cost"}</definedName>
    <definedName name="bbbbb" localSheetId="19" hidden="1">{#N/A,#N/A,FALSE,"O&amp;M by processes";#N/A,#N/A,FALSE,"Elec Act vs Bud";#N/A,#N/A,FALSE,"G&amp;A";#N/A,#N/A,FALSE,"BGS";#N/A,#N/A,FALSE,"Res Cost"}</definedName>
    <definedName name="bbbbb" localSheetId="13" hidden="1">{#N/A,#N/A,FALSE,"O&amp;M by processes";#N/A,#N/A,FALSE,"Elec Act vs Bud";#N/A,#N/A,FALSE,"G&amp;A";#N/A,#N/A,FALSE,"BGS";#N/A,#N/A,FALSE,"Res Cost"}</definedName>
    <definedName name="bbbbb" hidden="1">{#N/A,#N/A,FALSE,"O&amp;M by processes";#N/A,#N/A,FALSE,"Elec Act vs Bud";#N/A,#N/A,FALSE,"G&amp;A";#N/A,#N/A,FALSE,"BGS";#N/A,#N/A,FALSE,"Res Cost"}</definedName>
    <definedName name="bbc" localSheetId="19" hidden="1">{#N/A,#N/A,FALSE,"O&amp;M by processes";#N/A,#N/A,FALSE,"Elec Act vs Bud";#N/A,#N/A,FALSE,"G&amp;A";#N/A,#N/A,FALSE,"BGS";#N/A,#N/A,FALSE,"Res Cost"}</definedName>
    <definedName name="bbc" localSheetId="13" hidden="1">{#N/A,#N/A,FALSE,"O&amp;M by processes";#N/A,#N/A,FALSE,"Elec Act vs Bud";#N/A,#N/A,FALSE,"G&amp;A";#N/A,#N/A,FALSE,"BGS";#N/A,#N/A,FALSE,"Res Cost"}</definedName>
    <definedName name="bbc" hidden="1">{#N/A,#N/A,FALSE,"O&amp;M by processes";#N/A,#N/A,FALSE,"Elec Act vs Bud";#N/A,#N/A,FALSE,"G&amp;A";#N/A,#N/A,FALSE,"BGS";#N/A,#N/A,FALSE,"Res Cost"}</definedName>
    <definedName name="BNE_MESSAGES_HIDDEN" hidden="1">#REF!</definedName>
    <definedName name="Bridge" localSheetId="19" hidden="1">{"'Highlights'!$A$1:$M$123"}</definedName>
    <definedName name="Bridge" hidden="1">{"'Highlights'!$A$1:$M$123"}</definedName>
    <definedName name="BS_CDMA"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BS_CDMA"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BS_CDMA_1"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BS_CDMA_1"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BS_CDMA_2"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BS_CDMA_2"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BS_CDMA_3"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BS_CDMA_3"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BS_CDMA_4"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BS_CDMA_4"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BS_CDMA_5"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BS_CDMA_5"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BSFWT"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BSFWT"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BSFWT_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BSFWT_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BSFWT_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BSFWT_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BSFWT_3"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BSFWT_3"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BSFWT_4"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BSFWT_4"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BSFWT_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BSFWT_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an" localSheetId="19" hidden="1">{#N/A,#N/A,FALSE,"O&amp;M by processes";#N/A,#N/A,FALSE,"Elec Act vs Bud";#N/A,#N/A,FALSE,"G&amp;A";#N/A,#N/A,FALSE,"BGS";#N/A,#N/A,FALSE,"Res Cost"}</definedName>
    <definedName name="can" localSheetId="13" hidden="1">{#N/A,#N/A,FALSE,"O&amp;M by processes";#N/A,#N/A,FALSE,"Elec Act vs Bud";#N/A,#N/A,FALSE,"G&amp;A";#N/A,#N/A,FALSE,"BGS";#N/A,#N/A,FALSE,"Res Cost"}</definedName>
    <definedName name="can" hidden="1">{#N/A,#N/A,FALSE,"O&amp;M by processes";#N/A,#N/A,FALSE,"Elec Act vs Bud";#N/A,#N/A,FALSE,"G&amp;A";#N/A,#N/A,FALSE,"BGS";#N/A,#N/A,FALSE,"Res Cost"}</definedName>
    <definedName name="Cash"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Cash"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Cash_1"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Cash_1"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Cash_2"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Cash_2"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Cash_3"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Cash_3"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Cash_4"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Cash_4"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Cash_5"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Cash_5"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cash1"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cash1"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ccc" localSheetId="19" hidden="1">{#N/A,#N/A,FALSE,"O&amp;M by processes";#N/A,#N/A,FALSE,"Elec Act vs Bud";#N/A,#N/A,FALSE,"G&amp;A";#N/A,#N/A,FALSE,"BGS";#N/A,#N/A,FALSE,"Res Cost"}</definedName>
    <definedName name="ccc" localSheetId="13" hidden="1">{#N/A,#N/A,FALSE,"O&amp;M by processes";#N/A,#N/A,FALSE,"Elec Act vs Bud";#N/A,#N/A,FALSE,"G&amp;A";#N/A,#N/A,FALSE,"BGS";#N/A,#N/A,FALSE,"Res Cost"}</definedName>
    <definedName name="ccc" hidden="1">{#N/A,#N/A,FALSE,"O&amp;M by processes";#N/A,#N/A,FALSE,"Elec Act vs Bud";#N/A,#N/A,FALSE,"G&amp;A";#N/A,#N/A,FALSE,"BGS";#N/A,#N/A,FALSE,"Res Cost"}</definedName>
    <definedName name="cccc" localSheetId="19" hidden="1">{#N/A,#N/A,FALSE,"O&amp;M by processes";#N/A,#N/A,FALSE,"Elec Act vs Bud";#N/A,#N/A,FALSE,"G&amp;A";#N/A,#N/A,FALSE,"BGS";#N/A,#N/A,FALSE,"Res Cost"}</definedName>
    <definedName name="cccc" localSheetId="13" hidden="1">{#N/A,#N/A,FALSE,"O&amp;M by processes";#N/A,#N/A,FALSE,"Elec Act vs Bud";#N/A,#N/A,FALSE,"G&amp;A";#N/A,#N/A,FALSE,"BGS";#N/A,#N/A,FALSE,"Res Cost"}</definedName>
    <definedName name="cccc" hidden="1">{#N/A,#N/A,FALSE,"O&amp;M by processes";#N/A,#N/A,FALSE,"Elec Act vs Bud";#N/A,#N/A,FALSE,"G&amp;A";#N/A,#N/A,FALSE,"BGS";#N/A,#N/A,FALSE,"Res Cost"}</definedName>
    <definedName name="Celestica4" localSheetId="19" hidden="1">{#N/A,#N/A,TRUE,"97 Sales by Quarter (New Order)";#N/A,#N/A,TRUE,"97 BPlan TOC";#N/A,#N/A,TRUE,"Sales by Month";#N/A,#N/A,TRUE,"94-97 Annual Units/ASP/NSAD";#N/A,#N/A,TRUE,"Total DDN P&amp;L";#N/A,#N/A,TRUE,"Total DDN Trend";#N/A,#N/A,TRUE,"Radio Modems P&amp;L";#N/A,#N/A,TRUE,"Radio Modems Trend";#N/A,#N/A,TRUE,"Eagle Datatac PM100D P&amp;L";#N/A,#N/A,TRUE,"Eagle Datatac PM100D Trend";#N/A,#N/A,TRUE,"Eagle CDPD PM100C P&amp;L";#N/A,#N/A,TRUE,"Eagle CDPD PM100C Trend";#N/A,#N/A,TRUE,"Grackle P&amp;L";#N/A,#N/A,TRUE,"Grackle Trend";#N/A,#N/A,TRUE,"Cost Per Unit";#N/A,#N/A,TRUE,"Appendices"}</definedName>
    <definedName name="Celestica4" hidden="1">{#N/A,#N/A,TRUE,"97 Sales by Quarter (New Order)";#N/A,#N/A,TRUE,"97 BPlan TOC";#N/A,#N/A,TRUE,"Sales by Month";#N/A,#N/A,TRUE,"94-97 Annual Units/ASP/NSAD";#N/A,#N/A,TRUE,"Total DDN P&amp;L";#N/A,#N/A,TRUE,"Total DDN Trend";#N/A,#N/A,TRUE,"Radio Modems P&amp;L";#N/A,#N/A,TRUE,"Radio Modems Trend";#N/A,#N/A,TRUE,"Eagle Datatac PM100D P&amp;L";#N/A,#N/A,TRUE,"Eagle Datatac PM100D Trend";#N/A,#N/A,TRUE,"Eagle CDPD PM100C P&amp;L";#N/A,#N/A,TRUE,"Eagle CDPD PM100C Trend";#N/A,#N/A,TRUE,"Grackle P&amp;L";#N/A,#N/A,TRUE,"Grackle Trend";#N/A,#N/A,TRUE,"Cost Per Unit";#N/A,#N/A,TRUE,"Appendices"}</definedName>
    <definedName name="cg"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cg"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cg_1"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cg_1"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cg_2"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cg_2"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cg_3"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cg_3"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cg_4"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cg_4"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cg_5"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cg_5"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CH_COS" localSheetId="19">#REF!</definedName>
    <definedName name="CH_COS">#REF!</definedName>
    <definedName name="Charges"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Charges"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CIQWBGuid" hidden="1">"664e8547-71ec-4d5c-9f05-86b890428491"</definedName>
    <definedName name="ClientMatter" hidden="1">"b1"</definedName>
    <definedName name="cnrc2"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cnrc2"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CoCode0500">#REF!</definedName>
    <definedName name="Columns" localSheetId="19">#REF!</definedName>
    <definedName name="Columns">#REF!</definedName>
    <definedName name="com"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om"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omments_CIG_FWT"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omments_CIG_FWT"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omments_CIG_FWT_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omments_CIG_FWT_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omments_CIG_FWT_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omments_CIG_FWT_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omments_CIG_FWT_3"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omments_CIG_FWT_3"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omments_CIG_FWT_4"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omments_CIG_FWT_4"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omments_CIG_FWT_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omments_CIG_FWT_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company_id_valid_values">#REF!</definedName>
    <definedName name="CONOCO_FAC">#REF!</definedName>
    <definedName name="Consolid" localSheetId="19" hidden="1">{#N/A,#N/A,FALSE,"O&amp;M by processes";#N/A,#N/A,FALSE,"Elec Act vs Bud";#N/A,#N/A,FALSE,"G&amp;A";#N/A,#N/A,FALSE,"BGS";#N/A,#N/A,FALSE,"Res Cost"}</definedName>
    <definedName name="Consolid" localSheetId="13" hidden="1">{#N/A,#N/A,FALSE,"O&amp;M by processes";#N/A,#N/A,FALSE,"Elec Act vs Bud";#N/A,#N/A,FALSE,"G&amp;A";#N/A,#N/A,FALSE,"BGS";#N/A,#N/A,FALSE,"Res Cost"}</definedName>
    <definedName name="Consolid" hidden="1">{#N/A,#N/A,FALSE,"O&amp;M by processes";#N/A,#N/A,FALSE,"Elec Act vs Bud";#N/A,#N/A,FALSE,"G&amp;A";#N/A,#N/A,FALSE,"BGS";#N/A,#N/A,FALSE,"Res Cost"}</definedName>
    <definedName name="Consolidated" localSheetId="19" hidden="1">{#N/A,#N/A,FALSE,"O&amp;M by processes";#N/A,#N/A,FALSE,"Elec Act vs Bud";#N/A,#N/A,FALSE,"G&amp;A";#N/A,#N/A,FALSE,"BGS";#N/A,#N/A,FALSE,"Res Cost"}</definedName>
    <definedName name="Consolidated" localSheetId="13" hidden="1">{#N/A,#N/A,FALSE,"O&amp;M by processes";#N/A,#N/A,FALSE,"Elec Act vs Bud";#N/A,#N/A,FALSE,"G&amp;A";#N/A,#N/A,FALSE,"BGS";#N/A,#N/A,FALSE,"Res Cost"}</definedName>
    <definedName name="Consolidated" hidden="1">{#N/A,#N/A,FALSE,"O&amp;M by processes";#N/A,#N/A,FALSE,"Elec Act vs Bud";#N/A,#N/A,FALSE,"G&amp;A";#N/A,#N/A,FALSE,"BGS";#N/A,#N/A,FALSE,"Res Cost"}</definedName>
    <definedName name="cost" localSheetId="19" hidden="1">{#N/A,#N/A,FALSE,"By Month";#N/A,#N/A,FALSE,"Rev By Month";"Print1",#N/A,FALSE,"NA Parts Reporting";"Print2",#N/A,FALSE,"NA Parts Reporting";"Print3",#N/A,FALSE,"NA Parts Reporting"}</definedName>
    <definedName name="cost" hidden="1">{#N/A,#N/A,FALSE,"By Month";#N/A,#N/A,FALSE,"Rev By Month";"Print1",#N/A,FALSE,"NA Parts Reporting";"Print2",#N/A,FALSE,"NA Parts Reporting";"Print3",#N/A,FALSE,"NA Parts Reporting"}</definedName>
    <definedName name="Current_sum">#REF!</definedName>
    <definedName name="da" localSheetId="19" hidden="1">{#N/A,#N/A,FALSE,"O&amp;M by processes";#N/A,#N/A,FALSE,"Elec Act vs Bud";#N/A,#N/A,FALSE,"G&amp;A";#N/A,#N/A,FALSE,"BGS";#N/A,#N/A,FALSE,"Res Cost"}</definedName>
    <definedName name="da" localSheetId="13" hidden="1">{#N/A,#N/A,FALSE,"O&amp;M by processes";#N/A,#N/A,FALSE,"Elec Act vs Bud";#N/A,#N/A,FALSE,"G&amp;A";#N/A,#N/A,FALSE,"BGS";#N/A,#N/A,FALSE,"Res Cost"}</definedName>
    <definedName name="da" hidden="1">{#N/A,#N/A,FALSE,"O&amp;M by processes";#N/A,#N/A,FALSE,"Elec Act vs Bud";#N/A,#N/A,FALSE,"G&amp;A";#N/A,#N/A,FALSE,"BGS";#N/A,#N/A,FALSE,"Res Cost"}</definedName>
    <definedName name="dada" localSheetId="19" hidden="1">{#N/A,#N/A,FALSE,"O&amp;M by processes";#N/A,#N/A,FALSE,"Elec Act vs Bud";#N/A,#N/A,FALSE,"G&amp;A";#N/A,#N/A,FALSE,"BGS";#N/A,#N/A,FALSE,"Res Cost"}</definedName>
    <definedName name="dada" localSheetId="13" hidden="1">{#N/A,#N/A,FALSE,"O&amp;M by processes";#N/A,#N/A,FALSE,"Elec Act vs Bud";#N/A,#N/A,FALSE,"G&amp;A";#N/A,#N/A,FALSE,"BGS";#N/A,#N/A,FALSE,"Res Cost"}</definedName>
    <definedName name="dada" hidden="1">{#N/A,#N/A,FALSE,"O&amp;M by processes";#N/A,#N/A,FALSE,"Elec Act vs Bud";#N/A,#N/A,FALSE,"G&amp;A";#N/A,#N/A,FALSE,"BGS";#N/A,#N/A,FALSE,"Res Cost"}</definedName>
    <definedName name="dasda"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dasda"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data_3">[4]Permanent!$A$9:$O$20</definedName>
    <definedName name="Date" hidden="1">"b1"</definedName>
    <definedName name="ddd" localSheetId="19" hidden="1">{"CUR",#N/A,FALSE,"Summary";"PE",#N/A,FALSE,"Accounting";"EXPE",#N/A,FALSE,"Accounting";"EXPAS",#N/A,FALSE,"Accounting";"EXPL",#N/A,FALSE,"Accounting"}</definedName>
    <definedName name="ddd" hidden="1">{"CUR",#N/A,FALSE,"Summary";"PE",#N/A,FALSE,"Accounting";"EXPE",#N/A,FALSE,"Accounting";"EXPAS",#N/A,FALSE,"Accounting";"EXPL",#N/A,FALSE,"Accounting"}</definedName>
    <definedName name="DefaultCopy" localSheetId="19">#REF!</definedName>
    <definedName name="DefaultCopy">#REF!</definedName>
    <definedName name="DefaultPaste" localSheetId="19">#REF!</definedName>
    <definedName name="DefaultPaste">#REF!</definedName>
    <definedName name="delete" localSheetId="19" hidden="1">{#N/A,#N/A,FALSE,"CURRENT"}</definedName>
    <definedName name="delete" localSheetId="13" hidden="1">{#N/A,#N/A,FALSE,"CURRENT"}</definedName>
    <definedName name="delete" hidden="1">{#N/A,#N/A,FALSE,"CURRENT"}</definedName>
    <definedName name="detail">#REF!</definedName>
    <definedName name="DF_GRID_1">BALANCE [5]Sheet!$F$15</definedName>
    <definedName name="dfdsfdfs" localSheetId="19" hidden="1">{"Earnings",#N/A,FALSE,"Earnings";"balancesheet",#N/A,FALSE,"BalanceSheet";"change in cash",#N/A,FALSE,"CashFlow";"oil and gas results",#N/A,FALSE,"Oil and Gas Earnings";"foreign oil and gas results",#N/A,FALSE,"Foreign O&amp;G";"oil and gas details",#N/A,FALSE,"Foreign O&amp;G";"capexsum",#N/A,FALSE,"CAPEX Sum"}</definedName>
    <definedName name="dfdsfdfs" hidden="1">{"Earnings",#N/A,FALSE,"Earnings";"balancesheet",#N/A,FALSE,"BalanceSheet";"change in cash",#N/A,FALSE,"CashFlow";"oil and gas results",#N/A,FALSE,"Oil and Gas Earnings";"foreign oil and gas results",#N/A,FALSE,"Foreign O&amp;G";"oil and gas details",#N/A,FALSE,"Foreign O&amp;G";"capexsum",#N/A,FALSE,"CAPEX Sum"}</definedName>
    <definedName name="dfg"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dfg"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dfg_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dfg_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dfg_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dfg_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dfg_3"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dfg_3"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dfg_4"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dfg_4"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dfg_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dfg_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DME_BeforeCloseCompleted">"False"</definedName>
    <definedName name="DME_Dirty">"False"</definedName>
    <definedName name="DME_LocalFile">"True"</definedName>
    <definedName name="DocumentName" hidden="1">"b1"</definedName>
    <definedName name="DocumentNum" hidden="1">"a1"</definedName>
    <definedName name="ea"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ea"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earfe"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earfe"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earfe_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earfe_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earfe_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earfe_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earfe_3"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earfe_3"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earfe_4"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earfe_4"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earfe_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earfe_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EEE"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EEE"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EEE_1"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EEE_1"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EEE_2"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EEE_2"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EEE_3"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EEE_3"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EEE_4"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EEE_4"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EEE_5"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EEE_5"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eeee" localSheetId="19" hidden="1">{#N/A,#N/A,FALSE,"O&amp;M by processes";#N/A,#N/A,FALSE,"Elec Act vs Bud";#N/A,#N/A,FALSE,"G&amp;A";#N/A,#N/A,FALSE,"BGS";#N/A,#N/A,FALSE,"Res Cost"}</definedName>
    <definedName name="eeee" localSheetId="13" hidden="1">{#N/A,#N/A,FALSE,"O&amp;M by processes";#N/A,#N/A,FALSE,"Elec Act vs Bud";#N/A,#N/A,FALSE,"G&amp;A";#N/A,#N/A,FALSE,"BGS";#N/A,#N/A,FALSE,"Res Cost"}</definedName>
    <definedName name="eeee" hidden="1">{#N/A,#N/A,FALSE,"O&amp;M by processes";#N/A,#N/A,FALSE,"Elec Act vs Bud";#N/A,#N/A,FALSE,"G&amp;A";#N/A,#N/A,FALSE,"BGS";#N/A,#N/A,FALSE,"Res Cost"}</definedName>
    <definedName name="er"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er"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erg"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egdb"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egdb"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egdb_1"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egdb_1"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egdb_163"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egdb_163"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egdb_2"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egdb_2"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egdb_3"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egdb_3"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egdb_4"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egdb_4"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egdb_5"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egdb_5"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ergsrg" localSheetId="19" hidden="1">{TRUE,TRUE,-1.25,-21.5,964.5,725.25,FALSE,FALSE,TRUE,FALSE,35,3,22,1,#N/A,14.0676691729323,49.5294117647059,1,TRUE,FALSE,3,FALSE,1,FALSE,100,"Swvu.Table.","ACwvu.Table.",#N/A,FALSE,FALSE,0.75,0.75,1,1,1,"&amp;A","Page &amp;P",FALSE,FALSE,FALSE,FALSE,1,70,#N/A,#N/A,FALSE,FALSE,"Rwvu.Table.",#N/A,FALSE,FALSE,TRUE,1,65532,65532,FALSE,FALSE,FALSE,FALSE,FALSE}</definedName>
    <definedName name="ergsrg" hidden="1">{TRUE,TRUE,-1.25,-21.5,964.5,725.25,FALSE,FALSE,TRUE,FALSE,35,3,22,1,#N/A,14.0676691729323,49.5294117647059,1,TRUE,FALSE,3,FALSE,1,FALSE,100,"Swvu.Table.","ACwvu.Table.",#N/A,FALSE,FALSE,0.75,0.75,1,1,1,"&amp;A","Page &amp;P",FALSE,FALSE,FALSE,FALSE,1,70,#N/A,#N/A,FALSE,FALSE,"Rwvu.Table.",#N/A,FALSE,FALSE,TRUE,1,65532,65532,FALSE,FALSE,FALSE,FALSE,FALSE}</definedName>
    <definedName name="error">#REF!</definedName>
    <definedName name="ertwertwtr" localSheetId="19" hidden="1">{"Earnings",#N/A,FALSE,"Earnings";"US EP Earnings",#N/A,FALSE,"US E&amp;P";"CapEx",#N/A,FALSE,"CAPEX Sum";"qtr review for IR",#N/A,FALSE,"Quarters";"EP Summary",#N/A,FALSE,"E&amp;P Summary";"Canada EP Earnings",#N/A,FALSE,"Canada E&amp;P";"Europe EP Earnings",#N/A,FALSE,"Eur E&amp;P";"Other EP Earnings",#N/A,FALSE,"Other Foreign E&amp;P"}</definedName>
    <definedName name="ertwertwtr" hidden="1">{"Earnings",#N/A,FALSE,"Earnings";"US EP Earnings",#N/A,FALSE,"US E&amp;P";"CapEx",#N/A,FALSE,"CAPEX Sum";"qtr review for IR",#N/A,FALSE,"Quarters";"EP Summary",#N/A,FALSE,"E&amp;P Summary";"Canada EP Earnings",#N/A,FALSE,"Canada E&amp;P";"Europe EP Earnings",#N/A,FALSE,"Eur E&amp;P";"Other EP Earnings",#N/A,FALSE,"Other Foreign E&amp;P"}</definedName>
    <definedName name="ertyertyeyt" localSheetId="19" hidden="1">{TRUE,TRUE,-1.25,-21.5,964.5,725.25,FALSE,FALSE,TRUE,FALSE,35,3,22,1,#N/A,14.0676691729323,49.5294117647059,1,TRUE,FALSE,3,FALSE,1,FALSE,100,"Swvu.Table.","ACwvu.Table.",#N/A,FALSE,FALSE,0.75,0.75,1,1,1,"&amp;A","Page &amp;P",FALSE,FALSE,FALSE,FALSE,1,70,#N/A,#N/A,FALSE,FALSE,"Rwvu.Table.",#N/A,FALSE,FALSE,TRUE,1,65532,65532,FALSE,FALSE,FALSE,FALSE,FALSE}</definedName>
    <definedName name="ertyertyeyt" hidden="1">{TRUE,TRUE,-1.25,-21.5,964.5,725.25,FALSE,FALSE,TRUE,FALSE,35,3,22,1,#N/A,14.0676691729323,49.5294117647059,1,TRUE,FALSE,3,FALSE,1,FALSE,100,"Swvu.Table.","ACwvu.Table.",#N/A,FALSE,FALSE,0.75,0.75,1,1,1,"&amp;A","Page &amp;P",FALSE,FALSE,FALSE,FALSE,1,70,#N/A,#N/A,FALSE,FALSE,"Rwvu.Table.",#N/A,FALSE,FALSE,TRUE,1,65532,65532,FALSE,FALSE,FALSE,FALSE,FALSE}</definedName>
    <definedName name="ertyertyreyt" localSheetId="19" hidden="1">{TRUE,TRUE,-1.25,-15.5,484.5,253.5,FALSE,FALSE,TRUE,TRUE,0,1,#N/A,1,3,14.8947368421053,2,3,FALSE,TRUE,3,TRUE,1,TRUE,80,"Swvu.Assumptions.","ACwvu.Assumptions.",#N/A,FALSE,FALSE,0.65,0.5,1.25,1,1,"","",TRUE,FALSE,FALSE,FALSE,1,#N/A,1,1,"=R1C1:R64C13",FALSE,"Rwvu.Assumptions.",#N/A,FALSE,FALSE,FALSE,1,#N/A,#N/A,FALSE,FALSE,TRUE,TRUE,TRUE}</definedName>
    <definedName name="ertyertyreyt" hidden="1">{TRUE,TRUE,-1.25,-15.5,484.5,253.5,FALSE,FALSE,TRUE,TRUE,0,1,#N/A,1,3,14.8947368421053,2,3,FALSE,TRUE,3,TRUE,1,TRUE,80,"Swvu.Assumptions.","ACwvu.Assumptions.",#N/A,FALSE,FALSE,0.65,0.5,1.25,1,1,"","",TRUE,FALSE,FALSE,FALSE,1,#N/A,1,1,"=R1C1:R64C13",FALSE,"Rwvu.Assumptions.",#N/A,FALSE,FALSE,FALSE,1,#N/A,#N/A,FALSE,FALSE,TRUE,TRUE,TRUE}</definedName>
    <definedName name="ertyertyryt" localSheetId="19" hidden="1">{"US RM Earnings Summary",#N/A,FALSE,"US R&amp;M";"US RM Realization Data",#N/A,FALSE,"US R&amp;M";"For RM Earnings Detail",#N/A,FALSE,"Foreign R&amp;M";"For RM Real and Vol Detail",#N/A,FALSE,"Foreign R&amp;M"}</definedName>
    <definedName name="ertyertyryt" hidden="1">{"US RM Earnings Summary",#N/A,FALSE,"US R&amp;M";"US RM Realization Data",#N/A,FALSE,"US R&amp;M";"For RM Earnings Detail",#N/A,FALSE,"Foreign R&amp;M";"For RM Real and Vol Detail",#N/A,FALSE,"Foreign R&amp;M"}</definedName>
    <definedName name="ertyerytrty" localSheetId="19" hidden="1">{TRUE,TRUE,-1.25,-15.5,604.5,343.5,FALSE,FALSE,TRUE,TRUE,0,1,2,1,5,1,4,4,TRUE,TRUE,3,TRUE,1,TRUE,85,"Swvu.earnings.","ACwvu.earnings.",#N/A,FALSE,FALSE,0.75,0.75,1,1,2,"","",TRUE,FALSE,FALSE,FALSE,1,#N/A,1,1,"=R1C1:R39C12",FALSE,#N/A,#N/A,FALSE,FALSE,FALSE,1,#N/A,#N/A,FALSE,FALSE,TRUE,TRUE,TRUE}</definedName>
    <definedName name="ertyerytrty" hidden="1">{TRUE,TRUE,-1.25,-15.5,604.5,343.5,FALSE,FALSE,TRUE,TRUE,0,1,2,1,5,1,4,4,TRUE,TRUE,3,TRUE,1,TRUE,85,"Swvu.earnings.","ACwvu.earnings.",#N/A,FALSE,FALSE,0.75,0.75,1,1,2,"","",TRUE,FALSE,FALSE,FALSE,1,#N/A,1,1,"=R1C1:R39C12",FALSE,#N/A,#N/A,FALSE,FALSE,FALSE,1,#N/A,#N/A,FALSE,FALSE,TRUE,TRUE,TRUE}</definedName>
    <definedName name="ertyrtyrey" localSheetId="19" hidden="1">{TRUE,TRUE,-1.25,-15.5,604.5,343.5,FALSE,FALSE,TRUE,TRUE,0,1,#N/A,1,4,14.1666666666667,3,3,FALSE,TRUE,3,TRUE,1,TRUE,85,"Swvu.foreign._.oil._.and._.gas._.results.","ACwvu.foreign._.oil._.and._.gas._.results.",#N/A,FALSE,FALSE,0.75,0.75,1,1,1,"","",TRUE,FALSE,FALSE,FALSE,1,#N/A,1,1,"=R1C1:R56C11","=R1:R3",#N/A,#N/A,FALSE,FALSE,FALSE,1,#N/A,#N/A,FALSE,FALSE,TRUE,TRUE,TRUE}</definedName>
    <definedName name="ertyrtyrey" hidden="1">{TRUE,TRUE,-1.25,-15.5,604.5,343.5,FALSE,FALSE,TRUE,TRUE,0,1,#N/A,1,4,14.1666666666667,3,3,FALSE,TRUE,3,TRUE,1,TRUE,85,"Swvu.foreign._.oil._.and._.gas._.results.","ACwvu.foreign._.oil._.and._.gas._.results.",#N/A,FALSE,FALSE,0.75,0.75,1,1,1,"","",TRUE,FALSE,FALSE,FALSE,1,#N/A,1,1,"=R1C1:R56C11","=R1:R3",#N/A,#N/A,FALSE,FALSE,FALSE,1,#N/A,#N/A,FALSE,FALSE,TRUE,TRUE,TRUE}</definedName>
    <definedName name="EssAliasTable">"Default"</definedName>
    <definedName name="EssLatest">"Q1 FY99"</definedName>
    <definedName name="EssOptions">"2100000010120000_01000"</definedName>
    <definedName name="EST" localSheetId="19" hidden="1">{#N/A,#N/A,FALSE,"Summary";#N/A,#N/A,FALSE,"Adj to Option C";#N/A,#N/A,FALSE,"Dividend Analysis";#N/A,#N/A,FALSE,"Reserve Analysis";#N/A,#N/A,FALSE,"Depreciation";#N/A,#N/A,FALSE,"Other Tax Adj"}</definedName>
    <definedName name="EST" hidden="1">{#N/A,#N/A,FALSE,"Summary";#N/A,#N/A,FALSE,"Adj to Option C";#N/A,#N/A,FALSE,"Dividend Analysis";#N/A,#N/A,FALSE,"Reserve Analysis";#N/A,#N/A,FALSE,"Depreciation";#N/A,#N/A,FALSE,"Other Tax Adj"}</definedName>
    <definedName name="Estimate" localSheetId="19" hidden="1">{#N/A,#N/A,FALSE,"Summary";#N/A,#N/A,FALSE,"Adj to Option C";#N/A,#N/A,FALSE,"Dividend Analysis";#N/A,#N/A,FALSE,"Reserve Analysis";#N/A,#N/A,FALSE,"Depreciation";#N/A,#N/A,FALSE,"Other Tax Adj"}</definedName>
    <definedName name="Estimate" hidden="1">{#N/A,#N/A,FALSE,"Summary";#N/A,#N/A,FALSE,"Adj to Option C";#N/A,#N/A,FALSE,"Dividend Analysis";#N/A,#N/A,FALSE,"Reserve Analysis";#N/A,#N/A,FALSE,"Depreciation";#N/A,#N/A,FALSE,"Other Tax Adj"}</definedName>
    <definedName name="estimate2" localSheetId="19" hidden="1">{#N/A,#N/A,FALSE,"Summary";#N/A,#N/A,FALSE,"Adj to Option C";#N/A,#N/A,FALSE,"Dividend Analysis";#N/A,#N/A,FALSE,"Reserve Analysis";#N/A,#N/A,FALSE,"Depreciation";#N/A,#N/A,FALSE,"Other Tax Adj"}</definedName>
    <definedName name="estimate2" hidden="1">{#N/A,#N/A,FALSE,"Summary";#N/A,#N/A,FALSE,"Adj to Option C";#N/A,#N/A,FALSE,"Dividend Analysis";#N/A,#N/A,FALSE,"Reserve Analysis";#N/A,#N/A,FALSE,"Depreciation";#N/A,#N/A,FALSE,"Other Tax Adj"}</definedName>
    <definedName name="etret"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etret"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etrtyrtyerty" localSheetId="19" hidden="1">{"Fact Sheet",#N/A,FALSE,"Fact";"Earnings_Summary",#N/A,FALSE,"Earnings Model";"Balance Sheet",#N/A,FALSE,"Balance";"Change in Cash",#N/A,FALSE,"Cashflow";"normalengs",#N/A,FALSE,"NormalEngs";"NormalGrowth",#N/A,FALSE,"NormalGrowth"}</definedName>
    <definedName name="etrtyrtyerty" hidden="1">{"Fact Sheet",#N/A,FALSE,"Fact";"Earnings_Summary",#N/A,FALSE,"Earnings Model";"Balance Sheet",#N/A,FALSE,"Balance";"Change in Cash",#N/A,FALSE,"Cashflow";"normalengs",#N/A,FALSE,"NormalEngs";"NormalGrowth",#N/A,FALSE,"NormalGrowth"}</definedName>
    <definedName name="etyertyrty" localSheetId="19" hidden="1">{"US EP Earn and Prof Analysis",#N/A,FALSE,"USE&amp;P ";"US EP Price Vol Detail",#N/A,FALSE,"USE&amp;P "}</definedName>
    <definedName name="etyertyrty" hidden="1">{"US EP Earn and Prof Analysis",#N/A,FALSE,"USE&amp;P ";"US EP Price Vol Detail",#N/A,FALSE,"USE&amp;P "}</definedName>
    <definedName name="EV__LASTREFTIME__" hidden="1">39826.8319444444</definedName>
    <definedName name="ewrtwertewrt" localSheetId="19" hidden="1">{"Balance Sheet",#N/A,FALSE,"Balance";"Balance Sheet Details",#N/A,FALSE,"Balance";"Change in Cash",#N/A,FALSE,"Cashflow"}</definedName>
    <definedName name="ewrtwertewrt" hidden="1">{"Balance Sheet",#N/A,FALSE,"Balance";"Balance Sheet Details",#N/A,FALSE,"Balance";"Change in Cash",#N/A,FALSE,"Cashflow"}</definedName>
    <definedName name="ExistCap" localSheetId="19" hidden="1">{#N/A,#N/A,FALSE,"Process Flowchart";#N/A,#N/A,FALSE,"Financial Assumptions";#N/A,#N/A,FALSE,"Profit &amp; Loss";#N/A,#N/A,FALSE,"DL Summary ";#N/A,#N/A,FALSE,"DL Worksheet";#N/A,#N/A,FALSE,"Indirect Cell";#N/A,#N/A,FALSE,"Capital";#N/A,#N/A,FALSE,"Tooling";#N/A,#N/A,FALSE,"Factory Committed";#N/A,#N/A,FALSE,"New Products";#N/A,#N/A,FALSE,"Process Validation"}</definedName>
    <definedName name="ExistCap" hidden="1">{#N/A,#N/A,FALSE,"Process Flowchart";#N/A,#N/A,FALSE,"Financial Assumptions";#N/A,#N/A,FALSE,"Profit &amp; Loss";#N/A,#N/A,FALSE,"DL Summary ";#N/A,#N/A,FALSE,"DL Worksheet";#N/A,#N/A,FALSE,"Indirect Cell";#N/A,#N/A,FALSE,"Capital";#N/A,#N/A,FALSE,"Tooling";#N/A,#N/A,FALSE,"Factory Committed";#N/A,#N/A,FALSE,"New Products";#N/A,#N/A,FALSE,"Process Validation"}</definedName>
    <definedName name="Expense" localSheetId="19" hidden="1">{"'W.W. Summary'!$A$1:$K$37"}</definedName>
    <definedName name="Expense" hidden="1">{"'W.W. Summary'!$A$1:$K$37"}</definedName>
    <definedName name="fe" localSheetId="19" hidden="1">{#N/A,#N/A,TRUE,"Cover";#N/A,#N/A,TRUE,"Comments PCS";#N/A,#N/A,TRUE,"Comments CIG";#N/A,#N/A,TRUE,"Comments IDEN";#N/A,#N/A,TRUE,"BS PCS";#N/A,#N/A,TRUE,"BS CIG";#N/A,#N/A,TRUE,"BS IDEN";#N/A,#N/A,TRUE,"BS TOTAL";#N/A,#N/A,TRUE,"BS_ESG ";#N/A,#N/A,TRUE,"Balance SPS";#N/A,#N/A,TRUE,"BS_CORPORATE";#N/A,#N/A,TRUE,"P&amp;L PCS";#N/A,#N/A,TRUE,"P&amp;L FWT";#N/A,#N/A,TRUE,"P&amp;L CIG";#N/A,#N/A,TRUE,"P&amp;L IDEN";#N/A,#N/A,TRUE,"P&amp;L TOTAL";#N/A,#N/A,TRUE,"P&amp;L_SPS";#N/A,#N/A,TRUE,"P&amp;L_ESG";#N/A,#N/A,TRUE,"P&amp;L_CORP";#N/A,#N/A,TRUE,"Cash Flow PCS";#N/A,#N/A,TRUE,"Cash Flow CIG";#N/A,#N/A,TRUE,"Cash Flow IDEN";#N/A,#N/A,TRUE,"Cash Flow TOTAL";#N/A,#N/A,TRUE,"MBR PCS";#N/A,#N/A,TRUE,"MBR CIG";#N/A,#N/A,TRUE,"MBR iDEN";#N/A,#N/A,TRUE,"MBR_FWT";#N/A,#N/A,TRUE,"MBR TOTAL";#N/A,#N/A,TRUE,"Headcount_PCS ";#N/A,#N/A,TRUE,"Headcount CIG";#N/A,#N/A,TRUE,"Headcount iDEN";#N/A,#N/A,TRUE,"JAG PLANT TREND";#N/A,#N/A,TRUE,"FAB UN CSG ";#N/A,#N/A,TRUE,"FAB UN CIG";#N/A,#N/A,TRUE,"FAB UN PPG";#N/A,#N/A,TRUE,"FAB UN IDEN";#N/A,#N/A,TRUE,"FAB UN FWT";#N/A,#N/A,TRUE,"CSS MFG";#N/A,#N/A,TRUE,"CSS Distr";#N/A,#N/A,TRUE,"CSG 6-Up Charts";#N/A,#N/A,TRUE,"CIG MFG";#N/A,#N/A,TRUE,"IDEN MFG";#N/A,#N/A,TRUE,"IDEN 6-Up Charts  ";#N/A,#N/A,TRUE,"FWT MFG";#N/A,#N/A,TRUE,"FWT 6-Up Charts ";#N/A,#N/A,TRUE,"PCS Inventory";#N/A,#N/A,TRUE,"CIG Inventory";#N/A,#N/A,TRUE,"IDEN Inventory";#N/A,#N/A,TRUE,"FWT Inventory";#N/A,#N/A,TRUE,"CE JAG Inventory";#N/A,#N/A,TRUE,"Capital Expenditures";#N/A,#N/A,TRUE,"FM CSG";#N/A,#N/A,TRUE,"NSAD ASP CGS";#N/A,#N/A,TRUE,"FM CIG";#N/A,#N/A,TRUE,"NSAD ASP CIG";#N/A,#N/A,TRUE,"FM iDEN";#N/A,#N/A,TRUE,"NSAD IDEN";#N/A,#N/A,TRUE,"R&amp;D  Report";#N/A,#N/A,TRUE,"PCS Credit";#N/A,#N/A,TRUE,"PCS Mrg Analysis";#N/A,#N/A,TRUE,"Dpc Tango";#N/A,#N/A,TRUE,"Startac Analog";#N/A,#N/A,TRUE,"Mercury CDMA";#N/A,#N/A,TRUE,"Startac CDMA";#N/A,#N/A,TRUE,"Startac TDMA";#N/A,#N/A,TRUE,"Modulus TDMA";#N/A,#N/A,TRUE,"CIG Mrg Analysis";#N/A,#N/A,TRUE,"IDEN Mrg Analysis"}</definedName>
    <definedName name="fe" hidden="1">{#N/A,#N/A,TRUE,"Cover";#N/A,#N/A,TRUE,"Comments PCS";#N/A,#N/A,TRUE,"Comments CIG";#N/A,#N/A,TRUE,"Comments IDEN";#N/A,#N/A,TRUE,"BS PCS";#N/A,#N/A,TRUE,"BS CIG";#N/A,#N/A,TRUE,"BS IDEN";#N/A,#N/A,TRUE,"BS TOTAL";#N/A,#N/A,TRUE,"BS_ESG ";#N/A,#N/A,TRUE,"Balance SPS";#N/A,#N/A,TRUE,"BS_CORPORATE";#N/A,#N/A,TRUE,"P&amp;L PCS";#N/A,#N/A,TRUE,"P&amp;L FWT";#N/A,#N/A,TRUE,"P&amp;L CIG";#N/A,#N/A,TRUE,"P&amp;L IDEN";#N/A,#N/A,TRUE,"P&amp;L TOTAL";#N/A,#N/A,TRUE,"P&amp;L_SPS";#N/A,#N/A,TRUE,"P&amp;L_ESG";#N/A,#N/A,TRUE,"P&amp;L_CORP";#N/A,#N/A,TRUE,"Cash Flow PCS";#N/A,#N/A,TRUE,"Cash Flow CIG";#N/A,#N/A,TRUE,"Cash Flow IDEN";#N/A,#N/A,TRUE,"Cash Flow TOTAL";#N/A,#N/A,TRUE,"MBR PCS";#N/A,#N/A,TRUE,"MBR CIG";#N/A,#N/A,TRUE,"MBR iDEN";#N/A,#N/A,TRUE,"MBR_FWT";#N/A,#N/A,TRUE,"MBR TOTAL";#N/A,#N/A,TRUE,"Headcount_PCS ";#N/A,#N/A,TRUE,"Headcount CIG";#N/A,#N/A,TRUE,"Headcount iDEN";#N/A,#N/A,TRUE,"JAG PLANT TREND";#N/A,#N/A,TRUE,"FAB UN CSG ";#N/A,#N/A,TRUE,"FAB UN CIG";#N/A,#N/A,TRUE,"FAB UN PPG";#N/A,#N/A,TRUE,"FAB UN IDEN";#N/A,#N/A,TRUE,"FAB UN FWT";#N/A,#N/A,TRUE,"CSS MFG";#N/A,#N/A,TRUE,"CSS Distr";#N/A,#N/A,TRUE,"CSG 6-Up Charts";#N/A,#N/A,TRUE,"CIG MFG";#N/A,#N/A,TRUE,"IDEN MFG";#N/A,#N/A,TRUE,"IDEN 6-Up Charts  ";#N/A,#N/A,TRUE,"FWT MFG";#N/A,#N/A,TRUE,"FWT 6-Up Charts ";#N/A,#N/A,TRUE,"PCS Inventory";#N/A,#N/A,TRUE,"CIG Inventory";#N/A,#N/A,TRUE,"IDEN Inventory";#N/A,#N/A,TRUE,"FWT Inventory";#N/A,#N/A,TRUE,"CE JAG Inventory";#N/A,#N/A,TRUE,"Capital Expenditures";#N/A,#N/A,TRUE,"FM CSG";#N/A,#N/A,TRUE,"NSAD ASP CGS";#N/A,#N/A,TRUE,"FM CIG";#N/A,#N/A,TRUE,"NSAD ASP CIG";#N/A,#N/A,TRUE,"FM iDEN";#N/A,#N/A,TRUE,"NSAD IDEN";#N/A,#N/A,TRUE,"R&amp;D  Report";#N/A,#N/A,TRUE,"PCS Credit";#N/A,#N/A,TRUE,"PCS Mrg Analysis";#N/A,#N/A,TRUE,"Dpc Tango";#N/A,#N/A,TRUE,"Startac Analog";#N/A,#N/A,TRUE,"Mercury CDMA";#N/A,#N/A,TRUE,"Startac CDMA";#N/A,#N/A,TRUE,"Startac TDMA";#N/A,#N/A,TRUE,"Modulus TDMA";#N/A,#N/A,TRUE,"CIG Mrg Analysis";#N/A,#N/A,TRUE,"IDEN Mrg Analysis"}</definedName>
    <definedName name="ferfe" localSheetId="19" hidden="1">{#N/A,#N/A,TRUE,"Cover";#N/A,#N/A,TRUE,"Comments PCS";#N/A,#N/A,TRUE,"Comments CIG";#N/A,#N/A,TRUE,"Comments IDEN";#N/A,#N/A,TRUE,"BS PCS";#N/A,#N/A,TRUE,"BS CIG";#N/A,#N/A,TRUE,"BS IDEN";#N/A,#N/A,TRUE,"BS TOTAL";#N/A,#N/A,TRUE,"BS_ESG ";#N/A,#N/A,TRUE,"Balance SPS";#N/A,#N/A,TRUE,"BS_CORPORATE";#N/A,#N/A,TRUE,"P&amp;L PCS";#N/A,#N/A,TRUE,"P&amp;L FWT";#N/A,#N/A,TRUE,"P&amp;L CIG";#N/A,#N/A,TRUE,"P&amp;L IDEN";#N/A,#N/A,TRUE,"P&amp;L TOTAL";#N/A,#N/A,TRUE,"P&amp;L_SPS";#N/A,#N/A,TRUE,"P&amp;L_ESG";#N/A,#N/A,TRUE,"P&amp;L_CORP";#N/A,#N/A,TRUE,"Cash Flow PCS";#N/A,#N/A,TRUE,"Cash Flow CIG";#N/A,#N/A,TRUE,"Cash Flow IDEN";#N/A,#N/A,TRUE,"Cash Flow TOTAL";#N/A,#N/A,TRUE,"MBR PCS";#N/A,#N/A,TRUE,"MBR CIG";#N/A,#N/A,TRUE,"MBR iDEN";#N/A,#N/A,TRUE,"MBR_FWT";#N/A,#N/A,TRUE,"MBR TOTAL";#N/A,#N/A,TRUE,"Headcount_PCS ";#N/A,#N/A,TRUE,"Headcount CIG";#N/A,#N/A,TRUE,"Headcount iDEN";#N/A,#N/A,TRUE,"JAG PLANT TREND";#N/A,#N/A,TRUE,"FAB UN CSG ";#N/A,#N/A,TRUE,"FAB UN CIG";#N/A,#N/A,TRUE,"FAB UN PPG";#N/A,#N/A,TRUE,"FAB UN IDEN";#N/A,#N/A,TRUE,"FAB UN FWT";#N/A,#N/A,TRUE,"CSS MFG";#N/A,#N/A,TRUE,"CSS Distr";#N/A,#N/A,TRUE,"CSG 6-Up Charts";#N/A,#N/A,TRUE,"CIG MFG";#N/A,#N/A,TRUE,"IDEN MFG";#N/A,#N/A,TRUE,"IDEN 6-Up Charts  ";#N/A,#N/A,TRUE,"FWT MFG";#N/A,#N/A,TRUE,"FWT 6-Up Charts ";#N/A,#N/A,TRUE,"PCS Inventory";#N/A,#N/A,TRUE,"CIG Inventory";#N/A,#N/A,TRUE,"IDEN Inventory";#N/A,#N/A,TRUE,"FWT Inventory";#N/A,#N/A,TRUE,"CE JAG Inventory";#N/A,#N/A,TRUE,"Capital Expenditures";#N/A,#N/A,TRUE,"FM CSG";#N/A,#N/A,TRUE,"NSAD ASP CGS";#N/A,#N/A,TRUE,"FM CIG";#N/A,#N/A,TRUE,"NSAD ASP CIG";#N/A,#N/A,TRUE,"FM iDEN";#N/A,#N/A,TRUE,"NSAD IDEN";#N/A,#N/A,TRUE,"R&amp;D  Report";#N/A,#N/A,TRUE,"PCS Credit";#N/A,#N/A,TRUE,"PCS Mrg Analysis";#N/A,#N/A,TRUE,"Dpc Tango";#N/A,#N/A,TRUE,"Startac Analog";#N/A,#N/A,TRUE,"Mercury CDMA";#N/A,#N/A,TRUE,"Startac CDMA";#N/A,#N/A,TRUE,"Startac TDMA";#N/A,#N/A,TRUE,"Modulus TDMA";#N/A,#N/A,TRUE,"CIG Mrg Analysis";#N/A,#N/A,TRUE,"IDEN Mrg Analysis"}</definedName>
    <definedName name="ferfe" hidden="1">{#N/A,#N/A,TRUE,"Cover";#N/A,#N/A,TRUE,"Comments PCS";#N/A,#N/A,TRUE,"Comments CIG";#N/A,#N/A,TRUE,"Comments IDEN";#N/A,#N/A,TRUE,"BS PCS";#N/A,#N/A,TRUE,"BS CIG";#N/A,#N/A,TRUE,"BS IDEN";#N/A,#N/A,TRUE,"BS TOTAL";#N/A,#N/A,TRUE,"BS_ESG ";#N/A,#N/A,TRUE,"Balance SPS";#N/A,#N/A,TRUE,"BS_CORPORATE";#N/A,#N/A,TRUE,"P&amp;L PCS";#N/A,#N/A,TRUE,"P&amp;L FWT";#N/A,#N/A,TRUE,"P&amp;L CIG";#N/A,#N/A,TRUE,"P&amp;L IDEN";#N/A,#N/A,TRUE,"P&amp;L TOTAL";#N/A,#N/A,TRUE,"P&amp;L_SPS";#N/A,#N/A,TRUE,"P&amp;L_ESG";#N/A,#N/A,TRUE,"P&amp;L_CORP";#N/A,#N/A,TRUE,"Cash Flow PCS";#N/A,#N/A,TRUE,"Cash Flow CIG";#N/A,#N/A,TRUE,"Cash Flow IDEN";#N/A,#N/A,TRUE,"Cash Flow TOTAL";#N/A,#N/A,TRUE,"MBR PCS";#N/A,#N/A,TRUE,"MBR CIG";#N/A,#N/A,TRUE,"MBR iDEN";#N/A,#N/A,TRUE,"MBR_FWT";#N/A,#N/A,TRUE,"MBR TOTAL";#N/A,#N/A,TRUE,"Headcount_PCS ";#N/A,#N/A,TRUE,"Headcount CIG";#N/A,#N/A,TRUE,"Headcount iDEN";#N/A,#N/A,TRUE,"JAG PLANT TREND";#N/A,#N/A,TRUE,"FAB UN CSG ";#N/A,#N/A,TRUE,"FAB UN CIG";#N/A,#N/A,TRUE,"FAB UN PPG";#N/A,#N/A,TRUE,"FAB UN IDEN";#N/A,#N/A,TRUE,"FAB UN FWT";#N/A,#N/A,TRUE,"CSS MFG";#N/A,#N/A,TRUE,"CSS Distr";#N/A,#N/A,TRUE,"CSG 6-Up Charts";#N/A,#N/A,TRUE,"CIG MFG";#N/A,#N/A,TRUE,"IDEN MFG";#N/A,#N/A,TRUE,"IDEN 6-Up Charts  ";#N/A,#N/A,TRUE,"FWT MFG";#N/A,#N/A,TRUE,"FWT 6-Up Charts ";#N/A,#N/A,TRUE,"PCS Inventory";#N/A,#N/A,TRUE,"CIG Inventory";#N/A,#N/A,TRUE,"IDEN Inventory";#N/A,#N/A,TRUE,"FWT Inventory";#N/A,#N/A,TRUE,"CE JAG Inventory";#N/A,#N/A,TRUE,"Capital Expenditures";#N/A,#N/A,TRUE,"FM CSG";#N/A,#N/A,TRUE,"NSAD ASP CGS";#N/A,#N/A,TRUE,"FM CIG";#N/A,#N/A,TRUE,"NSAD ASP CIG";#N/A,#N/A,TRUE,"FM iDEN";#N/A,#N/A,TRUE,"NSAD IDEN";#N/A,#N/A,TRUE,"R&amp;D  Report";#N/A,#N/A,TRUE,"PCS Credit";#N/A,#N/A,TRUE,"PCS Mrg Analysis";#N/A,#N/A,TRUE,"Dpc Tango";#N/A,#N/A,TRUE,"Startac Analog";#N/A,#N/A,TRUE,"Mercury CDMA";#N/A,#N/A,TRUE,"Startac CDMA";#N/A,#N/A,TRUE,"Startac TDMA";#N/A,#N/A,TRUE,"Modulus TDMA";#N/A,#N/A,TRUE,"CIG Mrg Analysis";#N/A,#N/A,TRUE,"IDEN Mrg Analysis"}</definedName>
    <definedName name="fhk" localSheetId="19" hidden="1">{#N/A,#N/A,FALSE,"P&amp;L";#N/A,#N/A,FALSE,"DL Worksheet";#N/A,#N/A,FALSE,"Ind. Cell";#N/A,#N/A,FALSE,"Capital";#N/A,#N/A,FALSE,"Tooling";#N/A,#N/A,FALSE,"LRP"}</definedName>
    <definedName name="fhk" hidden="1">{#N/A,#N/A,FALSE,"P&amp;L";#N/A,#N/A,FALSE,"DL Worksheet";#N/A,#N/A,FALSE,"Ind. Cell";#N/A,#N/A,FALSE,"Capital";#N/A,#N/A,FALSE,"Tooling";#N/A,#N/A,FALSE,"LRP"}</definedName>
    <definedName name="final" localSheetId="19" hidden="1">{#N/A,#N/A,FALSE,"Outlook for Month ";#N/A,#N/A,FALSE,"Risk for Month ";#N/A,#N/A,FALSE,"Upside for Month"}</definedName>
    <definedName name="final" hidden="1">{#N/A,#N/A,FALSE,"Outlook for Month ";#N/A,#N/A,FALSE,"Risk for Month ";#N/A,#N/A,FALSE,"Upside for Month"}</definedName>
    <definedName name="fw"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fw"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gdfg" localSheetId="19" hidden="1">{#N/A,#N/A,FALSE,"Cover";#N/A,#N/A,FALSE,"General Assumptions";#N/A,#N/A,FALSE,"Comments CCS";#N/A,#N/A,FALSE,"Comments CIG";#N/A,#N/A,FALSE,"Comments IDEN";#N/A,#N/A,FALSE,"BS CSS";#N/A,#N/A,FALSE,"BS CIG";#N/A,#N/A,FALSE,"BS IDEN";#N/A,#N/A,FALSE,"BS TOTAL";#N/A,#N/A,FALSE,"P&amp;L CSS";#N/A,#N/A,FALSE,"P&amp;L CIG";#N/A,#N/A,FALSE,"P&amp;L IDEN";#N/A,#N/A,FALSE,"P&amp;L TOTAL";#N/A,#N/A,FALSE,"Cash Flow CSS";#N/A,#N/A,FALSE,"Cash Flow CIG";#N/A,#N/A,FALSE,"Cash Flow IDEN";#N/A,#N/A,FALSE,"Cash Flow Total";#N/A,#N/A,FALSE,"MBR CSS";#N/A,#N/A,FALSE,"MBR CIG";#N/A,#N/A,FALSE,"MBR IDEN";#N/A,#N/A,FALSE,"MBR JAG PLANT";#N/A,#N/A,FALSE,"Headcount - CSS";#N/A,#N/A,FALSE,"Headcount - CIG";#N/A,#N/A,FALSE,"Headcount - IDEN";#N/A,#N/A,FALSE,"Headcount JAG PLANT";#N/A,#N/A,FALSE,"CSS MFG";#N/A,#N/A,FALSE,"CSS Distr ";#N/A,#N/A,FALSE,"CIG MFG";#N/A,#N/A,FALSE,"IDEN MFG";#N/A,#N/A,FALSE,"CSS Inventory";#N/A,#N/A,FALSE,"CIG Inventory";#N/A,#N/A,FALSE,"IDEN Inventory";#N/A,#N/A,FALSE,"Capital CSS";#N/A,#N/A,FALSE,"Capital CIG";#N/A,#N/A,FALSE,"Capital iDEN";#N/A,#N/A,FALSE,"BACK UP CORPORATE"}</definedName>
    <definedName name="gdfg" hidden="1">{#N/A,#N/A,FALSE,"Cover";#N/A,#N/A,FALSE,"General Assumptions";#N/A,#N/A,FALSE,"Comments CCS";#N/A,#N/A,FALSE,"Comments CIG";#N/A,#N/A,FALSE,"Comments IDEN";#N/A,#N/A,FALSE,"BS CSS";#N/A,#N/A,FALSE,"BS CIG";#N/A,#N/A,FALSE,"BS IDEN";#N/A,#N/A,FALSE,"BS TOTAL";#N/A,#N/A,FALSE,"P&amp;L CSS";#N/A,#N/A,FALSE,"P&amp;L CIG";#N/A,#N/A,FALSE,"P&amp;L IDEN";#N/A,#N/A,FALSE,"P&amp;L TOTAL";#N/A,#N/A,FALSE,"Cash Flow CSS";#N/A,#N/A,FALSE,"Cash Flow CIG";#N/A,#N/A,FALSE,"Cash Flow IDEN";#N/A,#N/A,FALSE,"Cash Flow Total";#N/A,#N/A,FALSE,"MBR CSS";#N/A,#N/A,FALSE,"MBR CIG";#N/A,#N/A,FALSE,"MBR IDEN";#N/A,#N/A,FALSE,"MBR JAG PLANT";#N/A,#N/A,FALSE,"Headcount - CSS";#N/A,#N/A,FALSE,"Headcount - CIG";#N/A,#N/A,FALSE,"Headcount - IDEN";#N/A,#N/A,FALSE,"Headcount JAG PLANT";#N/A,#N/A,FALSE,"CSS MFG";#N/A,#N/A,FALSE,"CSS Distr ";#N/A,#N/A,FALSE,"CIG MFG";#N/A,#N/A,FALSE,"IDEN MFG";#N/A,#N/A,FALSE,"CSS Inventory";#N/A,#N/A,FALSE,"CIG Inventory";#N/A,#N/A,FALSE,"IDEN Inventory";#N/A,#N/A,FALSE,"Capital CSS";#N/A,#N/A,FALSE,"Capital CIG";#N/A,#N/A,FALSE,"Capital iDEN";#N/A,#N/A,FALSE,"BACK UP CORPORATE"}</definedName>
    <definedName name="ggg"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ggg"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gita" localSheetId="19" hidden="1">{#N/A,#N/A,FALSE,"O&amp;M by processes";#N/A,#N/A,FALSE,"Elec Act vs Bud";#N/A,#N/A,FALSE,"G&amp;A";#N/A,#N/A,FALSE,"BGS";#N/A,#N/A,FALSE,"Res Cost"}</definedName>
    <definedName name="gita" localSheetId="13" hidden="1">{#N/A,#N/A,FALSE,"O&amp;M by processes";#N/A,#N/A,FALSE,"Elec Act vs Bud";#N/A,#N/A,FALSE,"G&amp;A";#N/A,#N/A,FALSE,"BGS";#N/A,#N/A,FALSE,"Res Cost"}</definedName>
    <definedName name="gita" hidden="1">{#N/A,#N/A,FALSE,"O&amp;M by processes";#N/A,#N/A,FALSE,"Elec Act vs Bud";#N/A,#N/A,FALSE,"G&amp;A";#N/A,#N/A,FALSE,"BGS";#N/A,#N/A,FALSE,"Res Cost"}</definedName>
    <definedName name="gitah" localSheetId="19" hidden="1">{#N/A,#N/A,FALSE,"O&amp;M by processes";#N/A,#N/A,FALSE,"Elec Act vs Bud";#N/A,#N/A,FALSE,"G&amp;A";#N/A,#N/A,FALSE,"BGS";#N/A,#N/A,FALSE,"Res Cost"}</definedName>
    <definedName name="gitah" localSheetId="13" hidden="1">{#N/A,#N/A,FALSE,"O&amp;M by processes";#N/A,#N/A,FALSE,"Elec Act vs Bud";#N/A,#N/A,FALSE,"G&amp;A";#N/A,#N/A,FALSE,"BGS";#N/A,#N/A,FALSE,"Res Cost"}</definedName>
    <definedName name="gitah" hidden="1">{#N/A,#N/A,FALSE,"O&amp;M by processes";#N/A,#N/A,FALSE,"Elec Act vs Bud";#N/A,#N/A,FALSE,"G&amp;A";#N/A,#N/A,FALSE,"BGS";#N/A,#N/A,FALSE,"Res Cost"}</definedName>
    <definedName name="gsdagas" localSheetId="19" hidden="1">{#N/A,#N/A,FALSE,"BS_CORPORATE"}</definedName>
    <definedName name="gsdagas" hidden="1">{#N/A,#N/A,FALSE,"BS_CORPORATE"}</definedName>
    <definedName name="hangzhou"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hangzhou"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he"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adcount_SPS"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adcount_SPS"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adcount_SPS_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adcount_SPS_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adcount_SPS_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adcount_SPS_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adcount_SPS_3"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adcount_SPS_3"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adcount_SPS_4"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adcount_SPS_4"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adcount_SPS_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adcount_SPS_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adcount_SPS_98"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adcount_SPS_98"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hello"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hello"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hello_"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hello_"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HspLogonApplication">"'CorpFin'"</definedName>
    <definedName name="HspLogonDomain">"'NA1'"</definedName>
    <definedName name="HspLogonServer">"'il06nssftt100'"</definedName>
    <definedName name="HspLogonUserName">"'EFIN47'"</definedName>
    <definedName name="HTML_CodePage" hidden="1">1252</definedName>
    <definedName name="HTML_Control" localSheetId="19" hidden="1">{"'W.W. Summary'!$A$1:$K$37"}</definedName>
    <definedName name="HTML_Control" hidden="1">{"'W.W. Summary'!$A$1:$K$37"}</definedName>
    <definedName name="HTML_Control_1" localSheetId="19" hidden="1">{"'360068'!$A$1:$P$225"}</definedName>
    <definedName name="HTML_Control_1" hidden="1">{"'360068'!$A$1:$P$225"}</definedName>
    <definedName name="HTML_Control_2" localSheetId="19" hidden="1">{"'360068'!$A$1:$P$225"}</definedName>
    <definedName name="HTML_Control_2" hidden="1">{"'360068'!$A$1:$P$225"}</definedName>
    <definedName name="HTML_Control_3" localSheetId="19" hidden="1">{"'360068'!$A$1:$P$225"}</definedName>
    <definedName name="HTML_Control_3" hidden="1">{"'360068'!$A$1:$P$225"}</definedName>
    <definedName name="HTML_Control_4" localSheetId="19" hidden="1">{"'360068'!$A$1:$P$225"}</definedName>
    <definedName name="HTML_Control_4" hidden="1">{"'360068'!$A$1:$P$225"}</definedName>
    <definedName name="HTML_Control_454" localSheetId="19" hidden="1">{"'360068'!$A$1:$P$225"}</definedName>
    <definedName name="HTML_Control_454" hidden="1">{"'360068'!$A$1:$P$225"}</definedName>
    <definedName name="HTML_Control_5" localSheetId="19" hidden="1">{"'360068'!$A$1:$P$225"}</definedName>
    <definedName name="HTML_Control_5" hidden="1">{"'360068'!$A$1:$P$225"}</definedName>
    <definedName name="HTML_Control2" localSheetId="19" hidden="1">{"'W.W. Summary'!$A$1:$K$37"}</definedName>
    <definedName name="HTML_Control2" hidden="1">{"'W.W. Summary'!$A$1:$K$37"}</definedName>
    <definedName name="HTML_Description" hidden="1">""</definedName>
    <definedName name="HTML_Email" hidden="1">""</definedName>
    <definedName name="HTML_Header" hidden="1">"Finance"</definedName>
    <definedName name="HTML_LastUpdate" hidden="1">"2/3/98"</definedName>
    <definedName name="HTML_LineAfter" hidden="1">FALSE</definedName>
    <definedName name="HTML_LineBefore" hidden="1">FALSE</definedName>
    <definedName name="HTML_Name" hidden="1">"G14163"</definedName>
    <definedName name="HTML_OBDlg2" hidden="1">TRUE</definedName>
    <definedName name="HTML_OBDlg4" hidden="1">TRUE</definedName>
    <definedName name="HTML_OS" hidden="1">0</definedName>
    <definedName name="HTML_PathFile" hidden="1">"L:\RAPTOR\INET0198\SECTCOST\summ.htm"</definedName>
    <definedName name="HTML_Title" hidden="1">"SECTOR1"</definedName>
    <definedName name="hukh" localSheetId="19" hidden="1">{#N/A,#N/A,FALSE,"P&amp;L";#N/A,#N/A,FALSE,"DL Worksheet";#N/A,#N/A,FALSE,"Ind. Cell";#N/A,#N/A,FALSE,"Capital";#N/A,#N/A,FALSE,"Tooling";#N/A,#N/A,FALSE,"LRP"}</definedName>
    <definedName name="hukh" hidden="1">{#N/A,#N/A,FALSE,"P&amp;L";#N/A,#N/A,FALSE,"DL Worksheet";#N/A,#N/A,FALSE,"Ind. Cell";#N/A,#N/A,FALSE,"Capital";#N/A,#N/A,FALSE,"Tooling";#N/A,#N/A,FALSE,"LRP"}</definedName>
    <definedName name="IQ_ADDIN" hidden="1">"AUTO"</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CH" hidden="1">110000</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ONTRACTS_OTHER_COMMODITIES_EQUITIES._FDIC" hidden="1">"c6522"</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Q" hidden="1">5000</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Y" hidden="1">10000</definedName>
    <definedName name="IQ_DAILY" hidden="1">500000</definedName>
    <definedName name="IQ_DNTM" hidden="1">700000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FH" hidden="1">100000</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OREIGN_BRANCHES_U.S._BANKS_LOANS_FDIC" hidden="1">"c6438"</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LATESTK" hidden="1">1000</definedName>
    <definedName name="IQ_LATESTQ" hidden="1">500</definedName>
    <definedName name="IQ_LTM" hidden="1">2000</definedName>
    <definedName name="IQ_LTMMONTH" hidden="1">120000</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ONTH" hidden="1">15000</definedName>
    <definedName name="IQ_MTD" hidden="1">800000</definedName>
    <definedName name="IQ_NAMES_REVISION_DATE_" hidden="1">42691.5412615741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TM" hidden="1">6000</definedName>
    <definedName name="IQ_PERCENT_CHANGE_EST_FFO_12MONTHS" hidden="1">"c1828"</definedName>
    <definedName name="IQ_PERCENT_CHANGE_EST_FFO_12MONTHS_CIQ" hidden="1">"c3769"</definedName>
    <definedName name="IQ_PERCENT_CHANGE_EST_FFO_18MONTHS" hidden="1">"c1829"</definedName>
    <definedName name="IQ_PERCENT_CHANGE_EST_FFO_18MONTHS_CIQ" hidden="1">"c3770"</definedName>
    <definedName name="IQ_PERCENT_CHANGE_EST_FFO_3MONTHS" hidden="1">"c1825"</definedName>
    <definedName name="IQ_PERCENT_CHANGE_EST_FFO_3MONTHS_CIQ" hidden="1">"c3766"</definedName>
    <definedName name="IQ_PERCENT_CHANGE_EST_FFO_6MONTHS" hidden="1">"c1826"</definedName>
    <definedName name="IQ_PERCENT_CHANGE_EST_FFO_6MONTHS_CIQ" hidden="1">"c3767"</definedName>
    <definedName name="IQ_PERCENT_CHANGE_EST_FFO_9MONTHS" hidden="1">"c1827"</definedName>
    <definedName name="IQ_PERCENT_CHANGE_EST_FFO_9MONTHS_CIQ" hidden="1">"c3768"</definedName>
    <definedName name="IQ_PERCENT_CHANGE_EST_FFO_DAY" hidden="1">"c1822"</definedName>
    <definedName name="IQ_PERCENT_CHANGE_EST_FFO_DAY_CIQ" hidden="1">"c3764"</definedName>
    <definedName name="IQ_PERCENT_CHANGE_EST_FFO_MONTH" hidden="1">"c1824"</definedName>
    <definedName name="IQ_PERCENT_CHANGE_EST_FFO_MONTH_CIQ" hidden="1">"c3765"</definedName>
    <definedName name="IQ_PERCENT_CHANGE_EST_FFO_WEEK" hidden="1">"c1823"</definedName>
    <definedName name="IQ_PERCENT_CHANGE_EST_FFO_WEEK_CIQ" hidden="1">"c3795"</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QTD" hidden="1">750000</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TODAY" hidden="1">0</definedName>
    <definedName name="IQ_WEEK" hidden="1">50000</definedName>
    <definedName name="IQ_YTD" hidden="1">3000</definedName>
    <definedName name="IQ_YTDMONTH" hidden="1">130000</definedName>
    <definedName name="itc" localSheetId="19">#REF!</definedName>
    <definedName name="itc">#REF!</definedName>
    <definedName name="iuyrytdgfx" localSheetId="19" hidden="1">{"Earnings",#N/A,FALSE,"Earnings";"BalanceSheet",#N/A,FALSE,"BalanceSheet";"Change in Cash",#N/A,FALSE,"CashFlow";"normalengs",#N/A,FALSE,"NormalEngs";"US EP Profit and PerBbl",#N/A,FALSE,"US E&amp;P";"Canada EP Profit and PerBbl",#N/A,FALSE,"Canada E&amp;P";"Eur EP Price and Vol Detail",#N/A,FALSE,"Eur E&amp;P";"Other EP Price and Vol Detail",#N/A,FALSE,"Other Foreign E&amp;P";"RM Earnings",#N/A,FALSE,"R&amp;M ";"US Chemical Earnings",#N/A,FALSE,"Chemical";"CAPEX and Exploration",#N/A,FALSE,"CAPEX Sum";#N/A,#N/A,FALSE,"Assumptions"}</definedName>
    <definedName name="iuyrytdgfx" hidden="1">{"Earnings",#N/A,FALSE,"Earnings";"BalanceSheet",#N/A,FALSE,"BalanceSheet";"Change in Cash",#N/A,FALSE,"CashFlow";"normalengs",#N/A,FALSE,"NormalEngs";"US EP Profit and PerBbl",#N/A,FALSE,"US E&amp;P";"Canada EP Profit and PerBbl",#N/A,FALSE,"Canada E&amp;P";"Eur EP Price and Vol Detail",#N/A,FALSE,"Eur E&amp;P";"Other EP Price and Vol Detail",#N/A,FALSE,"Other Foreign E&amp;P";"RM Earnings",#N/A,FALSE,"R&amp;M ";"US Chemical Earnings",#N/A,FALSE,"Chemical";"CAPEX and Exploration",#N/A,FALSE,"CAPEX Sum";#N/A,#N/A,FALSE,"Assumptions"}</definedName>
    <definedName name="iytrutre" localSheetId="19" hidden="1">{"US EP Earn and Prof Analysis",#N/A,FALSE,"US E&amp;P ";"Can EP Earn and Prof Analysis",#N/A,FALSE,"Can E&amp;P";"Eur EP Earn and Prof Analysis",#N/A,FALSE,"Eur E&amp;P";"ASPAC EP Earn and Prof Analysis",#N/A,FALSE,"Asia-Pac E&amp;P";"NonCon EP Earn Prof Analysis",#N/A,FALSE,"Non-Con E&amp;P";"OG Production Sum",#N/A,FALSE,"E&amp;P Summary"}</definedName>
    <definedName name="iytrutre" hidden="1">{"US EP Earn and Prof Analysis",#N/A,FALSE,"US E&amp;P ";"Can EP Earn and Prof Analysis",#N/A,FALSE,"Can E&amp;P";"Eur EP Earn and Prof Analysis",#N/A,FALSE,"Eur E&amp;P";"ASPAC EP Earn and Prof Analysis",#N/A,FALSE,"Asia-Pac E&amp;P";"NonCon EP Earn Prof Analysis",#N/A,FALSE,"Non-Con E&amp;P";"OG Production Sum",#N/A,FALSE,"E&amp;P Summary"}</definedName>
    <definedName name="iyuttyr" localSheetId="19" hidden="1">{"Earnings",#N/A,TRUE,"Earnings";"qtr for IR",#N/A,TRUE,"Quarters";"balancesheet",#N/A,TRUE,"BalanceSheet";"change in cash",#N/A,TRUE,"CashFlow";"oil and gas earnings",#N/A,TRUE,"Oil and Gas Results";"price and vol detail",#N/A,TRUE,"Oil and Gas Results";"capexsum",#N/A,TRUE,"CAPEX Sum"}</definedName>
    <definedName name="iyuttyr" hidden="1">{"Earnings",#N/A,TRUE,"Earnings";"qtr for IR",#N/A,TRUE,"Quarters";"balancesheet",#N/A,TRUE,"BalanceSheet";"change in cash",#N/A,TRUE,"CashFlow";"oil and gas earnings",#N/A,TRUE,"Oil and Gas Results";"price and vol detail",#N/A,TRUE,"Oil and Gas Results";"capexsum",#N/A,TRUE,"CAPEX Sum"}</definedName>
    <definedName name="ja"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ja"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jajjks" localSheetId="19" hidden="1">{#N/A,#N/A,FALSE,"Total";#N/A,#N/A,FALSE,"ASNS";#N/A,#N/A,FALSE,"PNCNS";#N/A,#N/A,FALSE,"DSNS";#N/A,#N/A,FALSE,"TNS"}</definedName>
    <definedName name="jajjks" hidden="1">{#N/A,#N/A,FALSE,"Total";#N/A,#N/A,FALSE,"ASNS";#N/A,#N/A,FALSE,"PNCNS";#N/A,#N/A,FALSE,"DSNS";#N/A,#N/A,FALSE,"TNS"}</definedName>
    <definedName name="janeiro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janeiro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janeiro1_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janeiro1_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janeiro1_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janeiro1_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janeiro1_3"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janeiro1_3"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janeiro1_4"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janeiro1_4"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janeiro1_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janeiro1_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Jason" localSheetId="19" hidden="1">{"Age 50; 100% - NPPC",#N/A,FALSE,"Age 50; 100%";"Age 50; 100% - PSC",#N/A,FALSE,"Age 50; 100%";"Age 50; 100% - Gain/Loss",#N/A,FALSE,"Age 50; 100%"}</definedName>
    <definedName name="Jason" hidden="1">{"Age 50; 100% - NPPC",#N/A,FALSE,"Age 50; 100%";"Age 50; 100% - PSC",#N/A,FALSE,"Age 50; 100%";"Age 50; 100% - Gain/Loss",#N/A,FALSE,"Age 50; 100%"}</definedName>
    <definedName name="ji" localSheetId="19" hidden="1">{"'Highlights'!$A$1:$M$123"}</definedName>
    <definedName name="ji" hidden="1">{"'Highlights'!$A$1:$M$123"}</definedName>
    <definedName name="K2_WBEVMODE" hidden="1">-1</definedName>
    <definedName name="kjl" localSheetId="19" hidden="1">{#N/A,#N/A,FALSE,"TOTFINAL";#N/A,#N/A,FALSE,"FINPLAN";#N/A,#N/A,FALSE,"TOTMOTADJ";#N/A,#N/A,FALSE,"tieEQ";#N/A,#N/A,FALSE,"G";#N/A,#N/A,FALSE,"ELIMS";#N/A,#N/A,FALSE,"NEXTEL ADJ";#N/A,#N/A,FALSE,"MIMS";#N/A,#N/A,FALSE,"LMPS";#N/A,#N/A,FALSE,"CNSS";#N/A,#N/A,FALSE,"CSS";#N/A,#N/A,FALSE,"MCG";#N/A,#N/A,FALSE,"AECS";#N/A,#N/A,FALSE,"SPS";#N/A,#N/A,FALSE,"CORP"}</definedName>
    <definedName name="kjl" hidden="1">{#N/A,#N/A,FALSE,"TOTFINAL";#N/A,#N/A,FALSE,"FINPLAN";#N/A,#N/A,FALSE,"TOTMOTADJ";#N/A,#N/A,FALSE,"tieEQ";#N/A,#N/A,FALSE,"G";#N/A,#N/A,FALSE,"ELIMS";#N/A,#N/A,FALSE,"NEXTEL ADJ";#N/A,#N/A,FALSE,"MIMS";#N/A,#N/A,FALSE,"LMPS";#N/A,#N/A,FALSE,"CNSS";#N/A,#N/A,FALSE,"CSS";#N/A,#N/A,FALSE,"MCG";#N/A,#N/A,FALSE,"AECS";#N/A,#N/A,FALSE,"SPS";#N/A,#N/A,FALSE,"CORP"}</definedName>
    <definedName name="kk" localSheetId="19">#REF!</definedName>
    <definedName name="kk">#REF!</definedName>
    <definedName name="l"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l"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Library" hidden="1">"a1"</definedName>
    <definedName name="limcount" hidden="1">1</definedName>
    <definedName name="ListOffset" hidden="1">1</definedName>
    <definedName name="lk" localSheetId="19" hidden="1">{#N/A,#N/A,FALSE,"Summary";#N/A,#N/A,FALSE,"Adj to Option C";#N/A,#N/A,FALSE,"Dividend Analysis";#N/A,#N/A,FALSE,"Reserve Analysis";#N/A,#N/A,FALSE,"Depreciation";#N/A,#N/A,FALSE,"Other Tax Adj"}</definedName>
    <definedName name="lk" hidden="1">{#N/A,#N/A,FALSE,"Summary";#N/A,#N/A,FALSE,"Adj to Option C";#N/A,#N/A,FALSE,"Dividend Analysis";#N/A,#N/A,FALSE,"Reserve Analysis";#N/A,#N/A,FALSE,"Depreciation";#N/A,#N/A,FALSE,"Other Tax Adj"}</definedName>
    <definedName name="m"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arch18Data">'[6]March 2018'!$A$3:$E$10</definedName>
    <definedName name="mb"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_"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_"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R"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BR"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BR_"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BR_"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BR_1"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BR_1"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BR_2"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BR_2"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BR_3"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BR_3"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BR_4"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BR_4"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BR_5"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BR_5"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MBR_CGISS"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R_CGISS"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R_CGISS_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R_CGISS_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R_CGISS_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R_CGISS_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R_CGISS_3"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R_CGISS_3"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R_CGISS_4"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R_CGISS_4"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R_CGISS_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R_CGISS_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MBR_FWT"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MBR_FWT"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MBR_FWT_1"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MBR_FWT_1"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MBR_FWT_2"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MBR_FWT_2"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MBR_FWT_3"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MBR_FWT_3"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MBR_FWT_4"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MBR_FWT_4"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MBR_FWT_5"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MBR_FWT_5"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Mgmt" localSheetId="19">[7]Current!#REF!</definedName>
    <definedName name="Mgmt">[7]Current!#REF!</definedName>
    <definedName name="million">1000000</definedName>
    <definedName name="MonitorCol">1</definedName>
    <definedName name="MonitorRow">1</definedName>
    <definedName name="months">[4]Permanent!$A$24:$A$35</definedName>
    <definedName name="N"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N"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N_1"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N_1"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N_2"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N_2"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N_3"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N_3"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N_4"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N_4"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N_5"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N_5"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new" localSheetId="19">#REF!</definedName>
    <definedName name="new">#REF!</definedName>
    <definedName name="nn"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nn"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NSP_COS" localSheetId="19">#REF!</definedName>
    <definedName name="NSP_COS">#REF!</definedName>
    <definedName name="NvsAnswerCol">"'[RP Consolidating IS YTD - 2017 - 9.xlsx]BU List'!$A$4:$A$19"</definedName>
    <definedName name="NvsASD">"V2016-12-31"</definedName>
    <definedName name="NvsAutoDrillOk">"VN"</definedName>
    <definedName name="NvsElapsedTime">0.0000462962925666943</definedName>
    <definedName name="NvsEndTime">42816.4573842593</definedName>
    <definedName name="NvsInstLang">"VENG"</definedName>
    <definedName name="NvsInstSpec">"%,FBUSINESS_UNIT,V41000"</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"V10000"</definedName>
    <definedName name="NvsPanelEffdt">"V2016-02-06"</definedName>
    <definedName name="NvsPanelSetid">"VSHARE"</definedName>
    <definedName name="NvsReqBU">"V10000"</definedName>
    <definedName name="NvsReqBUOnly">"VN"</definedName>
    <definedName name="NvsTransLed">"VN"</definedName>
    <definedName name="NvsTreeASD">"V2016-12-31"</definedName>
    <definedName name="NvsValTbl.ACCOUNT">"GL_ACCOUNT_TBL"</definedName>
    <definedName name="NvsValTbl.BUSINESS_UNIT">"BUS_UNIT_TBL_FS"</definedName>
    <definedName name="OASDI">#REF!</definedName>
    <definedName name="oct" localSheetId="19" hidden="1">{#N/A,#N/A,FALSE,"TOTFINAL";#N/A,#N/A,FALSE,"FINPLAN";#N/A,#N/A,FALSE,"TOTMOTADJ";#N/A,#N/A,FALSE,"tieEQ";#N/A,#N/A,FALSE,"G";#N/A,#N/A,FALSE,"ELIMS";#N/A,#N/A,FALSE,"NEXTEL ADJ";#N/A,#N/A,FALSE,"MIMS";#N/A,#N/A,FALSE,"LMPS";#N/A,#N/A,FALSE,"CNSS";#N/A,#N/A,FALSE,"CSS";#N/A,#N/A,FALSE,"MCG";#N/A,#N/A,FALSE,"AECS";#N/A,#N/A,FALSE,"SPS";#N/A,#N/A,FALSE,"CORP"}</definedName>
    <definedName name="oct" hidden="1">{#N/A,#N/A,FALSE,"TOTFINAL";#N/A,#N/A,FALSE,"FINPLAN";#N/A,#N/A,FALSE,"TOTMOTADJ";#N/A,#N/A,FALSE,"tieEQ";#N/A,#N/A,FALSE,"G";#N/A,#N/A,FALSE,"ELIMS";#N/A,#N/A,FALSE,"NEXTEL ADJ";#N/A,#N/A,FALSE,"MIMS";#N/A,#N/A,FALSE,"LMPS";#N/A,#N/A,FALSE,"CNSS";#N/A,#N/A,FALSE,"CSS";#N/A,#N/A,FALSE,"MCG";#N/A,#N/A,FALSE,"AECS";#N/A,#N/A,FALSE,"SPS";#N/A,#N/A,FALSE,"CORP"}</definedName>
    <definedName name="oiupiu" localSheetId="19" hidden="1">{"US Chemical Summary",#N/A,FALSE,"USChem";"Foreign Chemical Summary",#N/A,FALSE,"ForChem"}</definedName>
    <definedName name="oiupiu" hidden="1">{"US Chemical Summary",#N/A,FALSE,"USChem";"Foreign Chemical Summary",#N/A,FALSE,"ForChem"}</definedName>
    <definedName name="oiutyut" localSheetId="19" hidden="1">{"US EP DCF Valuation",#N/A,FALSE,"USE&amp;P ";"Can EP DCF Valuation",#N/A,FALSE,"Can E&amp;P";"Eur EP DCF Valuation",#N/A,FALSE,"Eur E&amp;P";"ASPAC EP DCF Valuation",#N/A,FALSE,"Asia-Pac E&amp;P";"NonCon EP DCF Valuation",#N/A,FALSE,"Non-Con E&amp;P"}</definedName>
    <definedName name="oiutyut" hidden="1">{"US EP DCF Valuation",#N/A,FALSE,"USE&amp;P ";"Can EP DCF Valuation",#N/A,FALSE,"Can E&amp;P";"Eur EP DCF Valuation",#N/A,FALSE,"Eur E&amp;P";"ASPAC EP DCF Valuation",#N/A,FALSE,"Asia-Pac E&amp;P";"NonCon EP DCF Valuation",#N/A,FALSE,"Non-Con E&amp;P"}</definedName>
    <definedName name="oiuyt" localSheetId="19" hidden="1">{"us ep earnings",#N/A,FALSE,"US E&amp;P";"us ep price vol detail",#N/A,FALSE,"US E&amp;P";"fareast ep earnings",#N/A,FALSE,"Far East E&amp;P";"fareast ep price vol detail",#N/A,FALSE,"Far East E&amp;P";"other EP earnings",#N/A,FALSE,"Other E&amp;P";"other EP price vol detail",#N/A,FALSE,"Other E&amp;P"}</definedName>
    <definedName name="oiuyt" hidden="1">{"us ep earnings",#N/A,FALSE,"US E&amp;P";"us ep price vol detail",#N/A,FALSE,"US E&amp;P";"fareast ep earnings",#N/A,FALSE,"Far East E&amp;P";"fareast ep price vol detail",#N/A,FALSE,"Far East E&amp;P";"other EP earnings",#N/A,FALSE,"Other E&amp;P";"other EP price vol detail",#N/A,FALSE,"Other E&amp;P"}</definedName>
    <definedName name="okay"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okay"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Oklahoma">#REF!</definedName>
    <definedName name="ol"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ol"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one">1</definedName>
    <definedName name="or"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or"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oyutfc" localSheetId="19" hidden="1">{"Earnings",#N/A,FALSE,"Earnings";"BalanceSheet",#N/A,FALSE,"BalanceSheet";"ChangeinCash",#N/A,FALSE,"CashFlow";"IR Production Sum",#N/A,FALSE,"E&amp;P Summary";"IR EPCost Sum",#N/A,FALSE,"E&amp;P Summary"}</definedName>
    <definedName name="oyutfc" hidden="1">{"Earnings",#N/A,FALSE,"Earnings";"BalanceSheet",#N/A,FALSE,"BalanceSheet";"ChangeinCash",#N/A,FALSE,"CashFlow";"IR Production Sum",#N/A,FALSE,"E&amp;P Summary";"IR EPCost Sum",#N/A,FALSE,"E&amp;P Summary"}</definedName>
    <definedName name="pioupoiu" localSheetId="19" hidden="1">{"Earnings_Summary",#N/A,FALSE,"Earnings Model";"Earnings EP Detail",#N/A,FALSE,"Earnings Model";"Earnings RM Detail",#N/A,FALSE,"Earnings Model"}</definedName>
    <definedName name="pioupoiu" hidden="1">{"Earnings_Summary",#N/A,FALSE,"Earnings Model";"Earnings EP Detail",#N/A,FALSE,"Earnings Model";"Earnings RM Detail",#N/A,FALSE,"Earnings Model"}</definedName>
    <definedName name="pipiupiou" localSheetId="19" hidden="1">{"Earnings",#N/A,FALSE,"Earnings";"BalanceSheet",#N/A,FALSE,"BalanceSheet";"Change in Cash",#N/A,FALSE,"CashFlow";"normalengs",#N/A,FALSE,"NormalEngs";"upstream normal per Bbl",#N/A,FALSE,"NormEngUp";"CAPEXsum",#N/A,FALSE,"CAPEX Sum"}</definedName>
    <definedName name="pipiupiou" hidden="1">{"Earnings",#N/A,FALSE,"Earnings";"BalanceSheet",#N/A,FALSE,"BalanceSheet";"Change in Cash",#N/A,FALSE,"CashFlow";"normalengs",#N/A,FALSE,"NormalEngs";"upstream normal per Bbl",#N/A,FALSE,"NormEngUp";"CAPEXsum",#N/A,FALSE,"CAPEX Sum"}</definedName>
    <definedName name="piuoip" localSheetId="19" hidden="1">{"Fact Sheet",#N/A,FALSE,"Fact";"Earnings_Summary",#N/A,FALSE,"Earnings Model";"Earnings EP Detail",#N/A,FALSE,"Earnings Model";"Earnings RM Detail",#N/A,FALSE,"Earnings Model";"Qtr Earnings Model",#N/A,FALSE,"Quarters";"Balance Sheet",#N/A,FALSE,"Balance";"Balance Sheet Details",#N/A,FALSE,"Balance";"Change in Cash",#N/A,FALSE,"Change in Cash";"Ratios",#N/A,FALSE,"Ratios";"NAV",#N/A,FALSE,"NAV";"ROCE",#N/A,FALSE,"ROCE";"Dupont",#N/A,FALSE,"Dupont";"US EP Earn and Prof Analysis",#N/A,FALSE,"USE&amp;P ";"Can EP Earn and Prof Analysis",#N/A,FALSE,"Can E&amp;P";"Eur EP Earn and Prof Analysis",#N/A,FALSE,"Eur E&amp;P";"ASPAC EP Earn and Prof Analysis",#N/A,FALSE,"Asia-Pac E&amp;P";"NonCon EP Earn Prof Analysis",#N/A,FALSE,"Non-Con E&amp;P";"OG Production Sum",#N/A,FALSE,"E&amp;P Summary";"DCF Analysis",#N/A,FALSE,"DCF";"US EP DCF Valuation",#N/A,FALSE,"USE&amp;P ";"Can EP DCF Valuation",#N/A,FALSE,"Can E&amp;P";"Eur EP DCF Valuation",#N/A,FALSE,"Eur E&amp;P";"ASPAC EP DCF Valuation",#N/A,FALSE,"Asia-Pac E&amp;P";"NonCon EP DCF Valuation",#N/A,FALSE,"Non-Con E&amp;P";"US RM Earnings Summary",#N/A,FALSE,"US R&amp;M";"US RM Realization Data",#N/A,FALSE,"US R&amp;M";"For RM Earnings Detail",#N/A,FALSE,"Foreign R&amp;M";"For RM Real and Vol Detail",#N/A,FALSE,"Foreign R&amp;M";"US Chemical Summary",#N/A,FALSE,"USChem";"Foreign Chemical Summary",#N/A,FALSE,"ForChem";"Assume",#N/A,FALSE,"Assumptions"}</definedName>
    <definedName name="piuoip" hidden="1">{"Fact Sheet",#N/A,FALSE,"Fact";"Earnings_Summary",#N/A,FALSE,"Earnings Model";"Earnings EP Detail",#N/A,FALSE,"Earnings Model";"Earnings RM Detail",#N/A,FALSE,"Earnings Model";"Qtr Earnings Model",#N/A,FALSE,"Quarters";"Balance Sheet",#N/A,FALSE,"Balance";"Balance Sheet Details",#N/A,FALSE,"Balance";"Change in Cash",#N/A,FALSE,"Change in Cash";"Ratios",#N/A,FALSE,"Ratios";"NAV",#N/A,FALSE,"NAV";"ROCE",#N/A,FALSE,"ROCE";"Dupont",#N/A,FALSE,"Dupont";"US EP Earn and Prof Analysis",#N/A,FALSE,"USE&amp;P ";"Can EP Earn and Prof Analysis",#N/A,FALSE,"Can E&amp;P";"Eur EP Earn and Prof Analysis",#N/A,FALSE,"Eur E&amp;P";"ASPAC EP Earn and Prof Analysis",#N/A,FALSE,"Asia-Pac E&amp;P";"NonCon EP Earn Prof Analysis",#N/A,FALSE,"Non-Con E&amp;P";"OG Production Sum",#N/A,FALSE,"E&amp;P Summary";"DCF Analysis",#N/A,FALSE,"DCF";"US EP DCF Valuation",#N/A,FALSE,"USE&amp;P ";"Can EP DCF Valuation",#N/A,FALSE,"Can E&amp;P";"Eur EP DCF Valuation",#N/A,FALSE,"Eur E&amp;P";"ASPAC EP DCF Valuation",#N/A,FALSE,"Asia-Pac E&amp;P";"NonCon EP DCF Valuation",#N/A,FALSE,"Non-Con E&amp;P";"US RM Earnings Summary",#N/A,FALSE,"US R&amp;M";"US RM Realization Data",#N/A,FALSE,"US R&amp;M";"For RM Earnings Detail",#N/A,FALSE,"Foreign R&amp;M";"For RM Real and Vol Detail",#N/A,FALSE,"Foreign R&amp;M";"US Chemical Summary",#N/A,FALSE,"USChem";"Foreign Chemical Summary",#N/A,FALSE,"ForChem";"Assume",#N/A,FALSE,"Assumptions"}</definedName>
    <definedName name="po" localSheetId="19" hidden="1">{#N/A,#N/A,FALSE,"Summary";#N/A,#N/A,FALSE,"Adj to Option C";#N/A,#N/A,FALSE,"Dividend Analysis";#N/A,#N/A,FALSE,"Reserve Analysis";#N/A,#N/A,FALSE,"Depreciation";#N/A,#N/A,FALSE,"Other Tax Adj"}</definedName>
    <definedName name="po" hidden="1">{#N/A,#N/A,FALSE,"Summary";#N/A,#N/A,FALSE,"Adj to Option C";#N/A,#N/A,FALSE,"Dividend Analysis";#N/A,#N/A,FALSE,"Reserve Analysis";#N/A,#N/A,FALSE,"Depreciation";#N/A,#N/A,FALSE,"Other Tax Adj"}</definedName>
    <definedName name="poiji" localSheetId="19" hidden="1">{"Balance Sheet",#N/A,FALSE,"Balance";"Balance Sheet Details",#N/A,FALSE,"Balance"}</definedName>
    <definedName name="poiji" hidden="1">{"Balance Sheet",#N/A,FALSE,"Balance";"Balance Sheet Details",#N/A,FALSE,"Balance"}</definedName>
    <definedName name="print_all">#REF!</definedName>
    <definedName name="print_all_D_1">#REF!</definedName>
    <definedName name="_xlnm.Print_Area" localSheetId="1">'1 - Revenue Credits'!$A$1:$H$47</definedName>
    <definedName name="_xlnm.Print_Area" localSheetId="2">'2 - Cost Support '!$A$1:$F$111</definedName>
    <definedName name="_xlnm.Print_Area" localSheetId="4">'2b - Cost Support'!$A$1:$Q$45</definedName>
    <definedName name="_xlnm.Print_Area" localSheetId="6">'4 - Cap Adds'!$A$1:$N$73</definedName>
    <definedName name="_xlnm.Print_Area" localSheetId="8">'6a-ADIT Projection'!$A$1:$I$37</definedName>
    <definedName name="_xlnm.Print_Area" localSheetId="9">'6b-ADIT Projection Proration'!$A$1:$L$61</definedName>
    <definedName name="_xlnm.Print_Area" localSheetId="10">'6c- ADIT BOY'!$A$1:$H$84</definedName>
    <definedName name="_xlnm.Print_Area" localSheetId="11">'6d- ADIT EOY'!$A$1:$H$84</definedName>
    <definedName name="_xlnm.Print_Area" localSheetId="12">'6e-ADIT True-up'!$A$1:$I$37</definedName>
    <definedName name="_xlnm.Print_Area" localSheetId="13">'6f-ADIT True-up Proration'!$A$1:$Y$61</definedName>
    <definedName name="_xlnm.Print_Area" localSheetId="14">'7 - Unfunded Reserves'!$A$1:$W$39</definedName>
    <definedName name="_xlnm.Print_Area" localSheetId="15">'8 - CWIP'!$A$1:$AA$37</definedName>
    <definedName name="_xlnm.Print_Area" localSheetId="0">'Appendix III'!$A$1:$R$246</definedName>
    <definedName name="_xlnm.Print_Area">#REF!</definedName>
    <definedName name="_xlnm.Print_Titles" localSheetId="8">'6a-ADIT Projection'!$19:$20</definedName>
    <definedName name="_xlnm.Print_Titles" localSheetId="9">'6b-ADIT Projection Proration'!$6:$7</definedName>
    <definedName name="_xlnm.Print_Titles" localSheetId="12">'6e-ADIT True-up'!$19:$20</definedName>
    <definedName name="_xlnm.Print_Titles" localSheetId="13">'6f-ADIT True-up Proration'!$6:$7</definedName>
    <definedName name="Print1" localSheetId="19">#REF!</definedName>
    <definedName name="Print1">#REF!</definedName>
    <definedName name="Print3" localSheetId="19">#REF!</definedName>
    <definedName name="Print3">#REF!</definedName>
    <definedName name="Print4" localSheetId="19">#REF!</definedName>
    <definedName name="Print4">#REF!</definedName>
    <definedName name="Print5">#REF!</definedName>
    <definedName name="ProjIDList">#REF!</definedName>
    <definedName name="PropertyGroupName">[8]!Table2[[#All],[Column1]]</definedName>
    <definedName name="PropertyUnitName">[8]!Table1[[#All],[Column1]]</definedName>
    <definedName name="PSCo_COS" localSheetId="19">#REF!</definedName>
    <definedName name="PSCo_COS">#REF!</definedName>
    <definedName name="py_clint">#REF!</definedName>
    <definedName name="py_eec">#REF!</definedName>
    <definedName name="py_ei">#REF!</definedName>
    <definedName name="py_engl">#REF!</definedName>
    <definedName name="py_epc">#REF!</definedName>
    <definedName name="py_esc">#REF!</definedName>
    <definedName name="q_1" localSheetId="19" hidden="1">{#N/A,#N/A,FALSE,"BS_ESG ";#N/A,#N/A,FALSE,"P&amp;L_ESG"}</definedName>
    <definedName name="q_1" hidden="1">{#N/A,#N/A,FALSE,"BS_ESG ";#N/A,#N/A,FALSE,"P&amp;L_ESG"}</definedName>
    <definedName name="q_2" localSheetId="19" hidden="1">{#N/A,#N/A,FALSE,"BS_ESG ";#N/A,#N/A,FALSE,"P&amp;L_ESG"}</definedName>
    <definedName name="q_2" hidden="1">{#N/A,#N/A,FALSE,"BS_ESG ";#N/A,#N/A,FALSE,"P&amp;L_ESG"}</definedName>
    <definedName name="q_3" localSheetId="19" hidden="1">{#N/A,#N/A,FALSE,"BS_ESG ";#N/A,#N/A,FALSE,"P&amp;L_ESG"}</definedName>
    <definedName name="q_3" hidden="1">{#N/A,#N/A,FALSE,"BS_ESG ";#N/A,#N/A,FALSE,"P&amp;L_ESG"}</definedName>
    <definedName name="q_4" localSheetId="19" hidden="1">{#N/A,#N/A,FALSE,"BS_ESG ";#N/A,#N/A,FALSE,"P&amp;L_ESG"}</definedName>
    <definedName name="q_4" hidden="1">{#N/A,#N/A,FALSE,"BS_ESG ";#N/A,#N/A,FALSE,"P&amp;L_ESG"}</definedName>
    <definedName name="q_5" localSheetId="19" hidden="1">{#N/A,#N/A,FALSE,"BS_ESG ";#N/A,#N/A,FALSE,"P&amp;L_ESG"}</definedName>
    <definedName name="q_5" hidden="1">{#N/A,#N/A,FALSE,"BS_ESG ";#N/A,#N/A,FALSE,"P&amp;L_ESG"}</definedName>
    <definedName name="q_MTEP06_App_AB_Facility" localSheetId="19">#REF!</definedName>
    <definedName name="q_MTEP06_App_AB_Facility">#REF!</definedName>
    <definedName name="q_MTEP06_App_AB_Projects" localSheetId="19">#REF!</definedName>
    <definedName name="q_MTEP06_App_AB_Projects">#REF!</definedName>
    <definedName name="Q2Fcst" localSheetId="19" hidden="1">{#N/A,#N/A,FALSE,"TOTFINAL";#N/A,#N/A,FALSE,"FINPLAN";#N/A,#N/A,FALSE,"TOTMOTADJ";#N/A,#N/A,FALSE,"tieEQ";#N/A,#N/A,FALSE,"G";#N/A,#N/A,FALSE,"ELIMS";#N/A,#N/A,FALSE,"NEXTEL ADJ";#N/A,#N/A,FALSE,"MIMS";#N/A,#N/A,FALSE,"LMPS";#N/A,#N/A,FALSE,"CNSS";#N/A,#N/A,FALSE,"CSS";#N/A,#N/A,FALSE,"MCG";#N/A,#N/A,FALSE,"AECS";#N/A,#N/A,FALSE,"SPS";#N/A,#N/A,FALSE,"CORP"}</definedName>
    <definedName name="Q2Fcst" hidden="1">{#N/A,#N/A,FALSE,"TOTFINAL";#N/A,#N/A,FALSE,"FINPLAN";#N/A,#N/A,FALSE,"TOTMOTADJ";#N/A,#N/A,FALSE,"tieEQ";#N/A,#N/A,FALSE,"G";#N/A,#N/A,FALSE,"ELIMS";#N/A,#N/A,FALSE,"NEXTEL ADJ";#N/A,#N/A,FALSE,"MIMS";#N/A,#N/A,FALSE,"LMPS";#N/A,#N/A,FALSE,"CNSS";#N/A,#N/A,FALSE,"CSS";#N/A,#N/A,FALSE,"MCG";#N/A,#N/A,FALSE,"AECS";#N/A,#N/A,FALSE,"SPS";#N/A,#N/A,FALSE,"CORP"}</definedName>
    <definedName name="qerw"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qerw"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qq" localSheetId="19" hidden="1">{#N/A,#N/A,FALSE,"BS_ESG ";#N/A,#N/A,FALSE,"P&amp;L_ESG"}</definedName>
    <definedName name="qq" hidden="1">{#N/A,#N/A,FALSE,"BS_ESG ";#N/A,#N/A,FALSE,"P&amp;L_ESG"}</definedName>
    <definedName name="QR" localSheetId="19"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QR"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qre"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qre"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qwe"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qwe"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reference"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reference"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rer"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rer"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rere"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rere"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revreq" localSheetId="19">#REF!</definedName>
    <definedName name="revreq">#REF!</definedName>
    <definedName name="rggfgrt" localSheetId="19" hidden="1">{"a",#N/A,FALSE,"Fact Sheet";"a",#N/A,FALSE,"DCFEVA";"a",#N/A,FALSE,"Statements";"a",#N/A,FALSE,"Quarterly";"a",#N/A,FALSE,"Q Grid";"a",#N/A,FALSE,"Stockval";"a",#N/A,FALSE,"DDM"}</definedName>
    <definedName name="rggfgrt" hidden="1">{"a",#N/A,FALSE,"Fact Sheet";"a",#N/A,FALSE,"DCFEVA";"a",#N/A,FALSE,"Statements";"a",#N/A,FALSE,"Quarterly";"a",#N/A,FALSE,"Q Grid";"a",#N/A,FALSE,"Stockval";"a",#N/A,FALSE,"DDM"}</definedName>
    <definedName name="rmcAccount">96050</definedName>
    <definedName name="rmcApplication">"MOTO"</definedName>
    <definedName name="rmcCategory">"PFCST"</definedName>
    <definedName name="rmcFrequency">"MON"</definedName>
    <definedName name="rmcName">"R0P014"</definedName>
    <definedName name="RMCOptions">"*000000000000000"</definedName>
    <definedName name="rmcPeriod">9609</definedName>
    <definedName name="Robson" localSheetId="19"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Robson"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rr" localSheetId="19"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rr"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rrrr" localSheetId="19" hidden="1">{#N/A,#N/A,FALSE,"O&amp;M by processes";#N/A,#N/A,FALSE,"Elec Act vs Bud";#N/A,#N/A,FALSE,"G&amp;A";#N/A,#N/A,FALSE,"BGS";#N/A,#N/A,FALSE,"Res Cost"}</definedName>
    <definedName name="rrrr" localSheetId="13" hidden="1">{#N/A,#N/A,FALSE,"O&amp;M by processes";#N/A,#N/A,FALSE,"Elec Act vs Bud";#N/A,#N/A,FALSE,"G&amp;A";#N/A,#N/A,FALSE,"BGS";#N/A,#N/A,FALSE,"Res Cost"}</definedName>
    <definedName name="rrrr" hidden="1">{#N/A,#N/A,FALSE,"O&amp;M by processes";#N/A,#N/A,FALSE,"Elec Act vs Bud";#N/A,#N/A,FALSE,"G&amp;A";#N/A,#N/A,FALSE,"BGS";#N/A,#N/A,FALSE,"Res Cost"}</definedName>
    <definedName name="rtyertye" localSheetId="19" hidden="1">{TRUE,TRUE,-1.25,-15.5,604.5,343.5,FALSE,FALSE,TRUE,TRUE,0,1,5,1,5,1,4,4,TRUE,TRUE,3,TRUE,1,TRUE,80,"Swvu.qtr._.earnings._.model.","ACwvu.qtr._.earnings._.model.",#N/A,FALSE,FALSE,0.65,0.5,1.25,1,2,"","",TRUE,FALSE,FALSE,FALSE,1,#N/A,1,1,"=R1C1:R36C16",FALSE,#N/A,#N/A,FALSE,FALSE,FALSE,1,#N/A,#N/A,FALSE,FALSE,TRUE,TRUE,TRUE}</definedName>
    <definedName name="rtyertye" hidden="1">{TRUE,TRUE,-1.25,-15.5,604.5,343.5,FALSE,FALSE,TRUE,TRUE,0,1,5,1,5,1,4,4,TRUE,TRUE,3,TRUE,1,TRUE,80,"Swvu.qtr._.earnings._.model.","ACwvu.qtr._.earnings._.model.",#N/A,FALSE,FALSE,0.65,0.5,1.25,1,2,"","",TRUE,FALSE,FALSE,FALSE,1,#N/A,1,1,"=R1C1:R36C16",FALSE,#N/A,#N/A,FALSE,FALSE,FALSE,1,#N/A,#N/A,FALSE,FALSE,TRUE,TRUE,TRUE}</definedName>
    <definedName name="rtyertyreyt" localSheetId="19" hidden="1">{TRUE,TRUE,-1.25,-15.5,604.5,343.5,FALSE,FALSE,TRUE,TRUE,0,1,#N/A,1,35,14.1666666666667,3,3,FALSE,TRUE,3,TRUE,1,TRUE,85,"Swvu.oil._.and._.gas._.details.","ACwvu.oil._.and._.gas._.details.",#N/A,FALSE,FALSE,0.75,0.75,1,1,1,"","",TRUE,FALSE,FALSE,FALSE,1,#N/A,1,1,"=R1C1:R59C11","=R1:R3",#N/A,#N/A,FALSE,FALSE,FALSE,1,#N/A,#N/A,FALSE,FALSE,TRUE,TRUE,TRUE}</definedName>
    <definedName name="rtyertyreyt" hidden="1">{TRUE,TRUE,-1.25,-15.5,604.5,343.5,FALSE,FALSE,TRUE,TRUE,0,1,#N/A,1,35,14.1666666666667,3,3,FALSE,TRUE,3,TRUE,1,TRUE,85,"Swvu.oil._.and._.gas._.details.","ACwvu.oil._.and._.gas._.details.",#N/A,FALSE,FALSE,0.75,0.75,1,1,1,"","",TRUE,FALSE,FALSE,FALSE,1,#N/A,1,1,"=R1C1:R59C11","=R1:R3",#N/A,#N/A,FALSE,FALSE,FALSE,1,#N/A,#N/A,FALSE,FALSE,TRUE,TRUE,TRUE}</definedName>
    <definedName name="Rwvu.Earnings." hidden="1">#REF!</definedName>
    <definedName name="Rwvu.Qtr._.Earnings._.Model." hidden="1">#REF!</definedName>
    <definedName name="Rwvu.Table." hidden="1">#REF!,#REF!,#REF!,#REF!,#REF!</definedName>
    <definedName name="s" hidden="1">#REF!</definedName>
    <definedName name="S_1"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S_1"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S_2"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S_2"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S_3"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S_3"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S_4"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S_4"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S_5"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S_5"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Sales2" localSheetId="19" hidden="1">{"'Highlights'!$A$1:$M$123"}</definedName>
    <definedName name="Sales2" hidden="1">{"'Highlights'!$A$1:$M$123"}</definedName>
    <definedName name="SAPBEXhrIndnt" hidden="1">"Wide"</definedName>
    <definedName name="SAPsysID" hidden="1">"708C5W7SBKP804JT78WJ0JNKI"</definedName>
    <definedName name="SAPwbID" hidden="1">"ARS"</definedName>
    <definedName name="SDF" localSheetId="19" hidden="1">{TRUE,TRUE,-1.25,-15.5,604.5,343.5,FALSE,FALSE,TRUE,TRUE,0,1,#N/A,1,35,14.1666666666667,3,3,FALSE,TRUE,3,TRUE,1,TRUE,85,"Swvu.oil._.and._.gas._.details.","ACwvu.oil._.and._.gas._.details.",#N/A,FALSE,FALSE,0.75,0.75,1,1,1,"","",TRUE,FALSE,FALSE,FALSE,1,#N/A,1,1,"=R1C1:R59C11","=R1:R3",#N/A,#N/A,FALSE,FALSE,FALSE,1,#N/A,#N/A,FALSE,FALSE,TRUE,TRUE,TRUE}</definedName>
    <definedName name="SDF" hidden="1">{TRUE,TRUE,-1.25,-15.5,604.5,343.5,FALSE,FALSE,TRUE,TRUE,0,1,#N/A,1,35,14.1666666666667,3,3,FALSE,TRUE,3,TRUE,1,TRUE,85,"Swvu.oil._.and._.gas._.details.","ACwvu.oil._.and._.gas._.details.",#N/A,FALSE,FALSE,0.75,0.75,1,1,1,"","",TRUE,FALSE,FALSE,FALSE,1,#N/A,1,1,"=R1C1:R59C11","=R1:R3",#N/A,#N/A,FALSE,FALSE,FALSE,1,#N/A,#N/A,FALSE,FALSE,TRUE,TRUE,TRUE}</definedName>
    <definedName name="sdfsdf" localSheetId="19" hidden="1">{#N/A,#N/A,FALSE,"Cover";#N/A,#N/A,FALSE,"Commentary";#N/A,#N/A,FALSE,"key ind";#N/A,#N/A,FALSE,"CIG RSB";#N/A,#N/A,FALSE,"Q1 Markets";#N/A,#N/A,FALSE,"Annual Mkts";#N/A,#N/A,FALSE,"Q1 Products";#N/A,#N/A,FALSE,"Annual Products";#N/A,#N/A,FALSE,"SMUG";#N/A,#N/A,FALSE,"IDL Budgets";#N/A,#N/A,FALSE,"HC Trend";#N/A,#N/A,FALSE,"Functional HC ";#N/A,#N/A,FALSE,"Capital Expd";#N/A,#N/A,FALSE,"Capital CO"}</definedName>
    <definedName name="sdfsdf" hidden="1">{#N/A,#N/A,FALSE,"Cover";#N/A,#N/A,FALSE,"Commentary";#N/A,#N/A,FALSE,"key ind";#N/A,#N/A,FALSE,"CIG RSB";#N/A,#N/A,FALSE,"Q1 Markets";#N/A,#N/A,FALSE,"Annual Mkts";#N/A,#N/A,FALSE,"Q1 Products";#N/A,#N/A,FALSE,"Annual Products";#N/A,#N/A,FALSE,"SMUG";#N/A,#N/A,FALSE,"IDL Budgets";#N/A,#N/A,FALSE,"HC Trend";#N/A,#N/A,FALSE,"Functional HC ";#N/A,#N/A,FALSE,"Capital Expd";#N/A,#N/A,FALSE,"Capital CO"}</definedName>
    <definedName name="sencount" hidden="1">1</definedName>
    <definedName name="sep"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sep"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sfdsf"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sfdsf"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sfgasd" localSheetId="19" hidden="1">{0,0,0,0;0,0,0,0;0,0,0,0;0,0,0,0;0,0,0,0;0,0,0,0;0,0,2,0;2,3,3,0;FALSE,FALSE,FALSE,FALSE;TRUE,FALSE,TRUE,TRUE;FALSE,FALSE,TRUE,TRUE;FALSE,0,2.78134444564786E-308,4.45015196281921E-308;7.78776275135711E-308,1.33504516457612E-307,2.22507555776164E-307,3.56012157274209E-307}</definedName>
    <definedName name="sfgasd" hidden="1">{0,0,0,0;0,0,0,0;0,0,0,0;0,0,0,0;0,0,0,0;0,0,0,0;0,0,2,0;2,3,3,0;FALSE,FALSE,FALSE,FALSE;TRUE,FALSE,TRUE,TRUE;FALSE,FALSE,TRUE,TRUE;FALSE,0,2.78134444564786E-308,4.45015196281921E-308;7.78776275135711E-308,1.33504516457612E-307,2.22507555776164E-307,3.56012157274209E-307}</definedName>
    <definedName name="shelly" localSheetId="19" hidden="1">{#N/A,#N/A,FALSE,"TOTFINAL";#N/A,#N/A,FALSE,"FINPLAN";#N/A,#N/A,FALSE,"TOTMOTADJ";#N/A,#N/A,FALSE,"tieEQ";#N/A,#N/A,FALSE,"G";#N/A,#N/A,FALSE,"ELIMS";#N/A,#N/A,FALSE,"NEXTEL ADJ";#N/A,#N/A,FALSE,"MIMS";#N/A,#N/A,FALSE,"LMPS";#N/A,#N/A,FALSE,"CNSS";#N/A,#N/A,FALSE,"CSS";#N/A,#N/A,FALSE,"MCG";#N/A,#N/A,FALSE,"AECS";#N/A,#N/A,FALSE,"SPS";#N/A,#N/A,FALSE,"CORP"}</definedName>
    <definedName name="shelly" hidden="1">{#N/A,#N/A,FALSE,"TOTFINAL";#N/A,#N/A,FALSE,"FINPLAN";#N/A,#N/A,FALSE,"TOTMOTADJ";#N/A,#N/A,FALSE,"tieEQ";#N/A,#N/A,FALSE,"G";#N/A,#N/A,FALSE,"ELIMS";#N/A,#N/A,FALSE,"NEXTEL ADJ";#N/A,#N/A,FALSE,"MIMS";#N/A,#N/A,FALSE,"LMPS";#N/A,#N/A,FALSE,"CNSS";#N/A,#N/A,FALSE,"CSS";#N/A,#N/A,FALSE,"MCG";#N/A,#N/A,FALSE,"AECS";#N/A,#N/A,FALSE,"SPS";#N/A,#N/A,FALSE,"CORP"}</definedName>
    <definedName name="shiva" localSheetId="19" hidden="1">{#N/A,#N/A,FALSE,"O&amp;M by processes";#N/A,#N/A,FALSE,"Elec Act vs Bud";#N/A,#N/A,FALSE,"G&amp;A";#N/A,#N/A,FALSE,"BGS";#N/A,#N/A,FALSE,"Res Cost"}</definedName>
    <definedName name="shiva" localSheetId="13" hidden="1">{#N/A,#N/A,FALSE,"O&amp;M by processes";#N/A,#N/A,FALSE,"Elec Act vs Bud";#N/A,#N/A,FALSE,"G&amp;A";#N/A,#N/A,FALSE,"BGS";#N/A,#N/A,FALSE,"Res Cost"}</definedName>
    <definedName name="shiva" hidden="1">{#N/A,#N/A,FALSE,"O&amp;M by processes";#N/A,#N/A,FALSE,"Elec Act vs Bud";#N/A,#N/A,FALSE,"G&amp;A";#N/A,#N/A,FALSE,"BGS";#N/A,#N/A,FALSE,"Res Cost"}</definedName>
    <definedName name="solver_adj" hidden="1">#REF!</definedName>
    <definedName name="solver_drv" hidden="1">1</definedName>
    <definedName name="solver_est" hidden="1">1</definedName>
    <definedName name="solver_itr" hidden="1">100</definedName>
    <definedName name="solver_lhs1" hidden="1">#REF!</definedName>
    <definedName name="solver_lhs2" hidden="1">#REF!</definedName>
    <definedName name="solver_lin" hidden="1">0</definedName>
    <definedName name="solver_num" hidden="1">2</definedName>
    <definedName name="solver_nwt" hidden="1">1</definedName>
    <definedName name="solver_opt" hidden="1">#REF!</definedName>
    <definedName name="solver_pre" hidden="1">0.000001</definedName>
    <definedName name="solver_rel1" hidden="1">1</definedName>
    <definedName name="solver_rel2" hidden="1">3</definedName>
    <definedName name="solver_rhs1" hidden="1">50</definedName>
    <definedName name="solver_rhs2" hidden="1">0</definedName>
    <definedName name="solver_scl" hidden="1">0</definedName>
    <definedName name="solver_sho" hidden="1">0</definedName>
    <definedName name="solver_tim" hidden="1">100</definedName>
    <definedName name="solver_tmp" hidden="1">0</definedName>
    <definedName name="solver_tol" hidden="1">0.05</definedName>
    <definedName name="solver_typ" hidden="1">3</definedName>
    <definedName name="solver_val" hidden="1">10.9</definedName>
    <definedName name="SPS_COS" localSheetId="19">#REF!</definedName>
    <definedName name="SPS_COS">#REF!</definedName>
    <definedName name="SPWS_WBID">"6770D16C-B453-4883-9736-E9CCF832AEC8"</definedName>
    <definedName name="SSDD" hidden="1">#REF!</definedName>
    <definedName name="sss"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sss"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sss_1"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sss_1"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sss_2"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sss_2"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sss_3"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sss_3"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sss_4"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sss_4"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sss_5"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sss_5"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STATE">#REF!</definedName>
    <definedName name="statsrevised" localSheetId="19" hidden="1">{#N/A,#N/A,FALSE,"O&amp;M by processes";#N/A,#N/A,FALSE,"Elec Act vs Bud";#N/A,#N/A,FALSE,"G&amp;A";#N/A,#N/A,FALSE,"BGS";#N/A,#N/A,FALSE,"Res Cost"}</definedName>
    <definedName name="statsrevised" localSheetId="13" hidden="1">{#N/A,#N/A,FALSE,"O&amp;M by processes";#N/A,#N/A,FALSE,"Elec Act vs Bud";#N/A,#N/A,FALSE,"G&amp;A";#N/A,#N/A,FALSE,"BGS";#N/A,#N/A,FALSE,"Res Cost"}</definedName>
    <definedName name="statsrevised" hidden="1">{#N/A,#N/A,FALSE,"O&amp;M by processes";#N/A,#N/A,FALSE,"Elec Act vs Bud";#N/A,#N/A,FALSE,"G&amp;A";#N/A,#N/A,FALSE,"BGS";#N/A,#N/A,FALSE,"Res Cost"}</definedName>
    <definedName name="stuff" hidden="1">#REF!</definedName>
    <definedName name="submit"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submit"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support" localSheetId="19" hidden="1">{#N/A,#N/A,FALSE,"O&amp;M by processes";#N/A,#N/A,FALSE,"Elec Act vs Bud";#N/A,#N/A,FALSE,"G&amp;A";#N/A,#N/A,FALSE,"BGS";#N/A,#N/A,FALSE,"Res Cost"}</definedName>
    <definedName name="support" localSheetId="13" hidden="1">{#N/A,#N/A,FALSE,"O&amp;M by processes";#N/A,#N/A,FALSE,"Elec Act vs Bud";#N/A,#N/A,FALSE,"G&amp;A";#N/A,#N/A,FALSE,"BGS";#N/A,#N/A,FALSE,"Res Cost"}</definedName>
    <definedName name="support" hidden="1">{#N/A,#N/A,FALSE,"O&amp;M by processes";#N/A,#N/A,FALSE,"Elec Act vs Bud";#N/A,#N/A,FALSE,"G&amp;A";#N/A,#N/A,FALSE,"BGS";#N/A,#N/A,FALSE,"Res Cost"}</definedName>
    <definedName name="supporti" localSheetId="19" hidden="1">{#N/A,#N/A,FALSE,"O&amp;M by processes";#N/A,#N/A,FALSE,"Elec Act vs Bud";#N/A,#N/A,FALSE,"G&amp;A";#N/A,#N/A,FALSE,"BGS";#N/A,#N/A,FALSE,"Res Cost"}</definedName>
    <definedName name="supporti" localSheetId="13" hidden="1">{#N/A,#N/A,FALSE,"O&amp;M by processes";#N/A,#N/A,FALSE,"Elec Act vs Bud";#N/A,#N/A,FALSE,"G&amp;A";#N/A,#N/A,FALSE,"BGS";#N/A,#N/A,FALSE,"Res Cost"}</definedName>
    <definedName name="supporti" hidden="1">{#N/A,#N/A,FALSE,"O&amp;M by processes";#N/A,#N/A,FALSE,"Elec Act vs Bud";#N/A,#N/A,FALSE,"G&amp;A";#N/A,#N/A,FALSE,"BGS";#N/A,#N/A,FALSE,"Res Cost"}</definedName>
    <definedName name="Swvu.earnings." hidden="1">#REF!</definedName>
    <definedName name="TableName">"Dummy"</definedName>
    <definedName name="Target_List">[3]!Targets[Prospect]</definedName>
    <definedName name="taxcalc" localSheetId="19">#REF!</definedName>
    <definedName name="taxcalc">#REF!</definedName>
    <definedName name="TaxTV">10%</definedName>
    <definedName name="TaxXL">5%</definedName>
    <definedName name="teagdz" localSheetId="19" hidden="1">{"Factsheet",#N/A,FALSE,"Fact";"Earnings",#N/A,FALSE,"Earnings";"BalanceSheet",#N/A,FALSE,"BalanceSheet";"Change in Cash",#N/A,FALSE,"CashFlow"}</definedName>
    <definedName name="teagdz" hidden="1">{"Factsheet",#N/A,FALSE,"Fact";"Earnings",#N/A,FALSE,"Earnings";"BalanceSheet",#N/A,FALSE,"BalanceSheet";"Change in Cash",#N/A,FALSE,"CashFlow"}</definedName>
    <definedName name="teo"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o"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o_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o_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o_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o_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o_3"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o_3"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o_4"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o_4"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o_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o_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ss" localSheetId="19"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tesss"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tessss"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sss"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16"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16"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16_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16_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16_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16_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16_3"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16_3"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16_4"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16_4"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16_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16_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17" localSheetId="19"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teste17"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teste18"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18"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18_1"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18_1"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18_2"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18_2"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18_3"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18_3"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18_4"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18_4"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18_5"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18_5"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19"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teste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teste19_1"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teste19_1"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teste19_2"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teste19_2"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teste19_3"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teste19_3"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teste19_4"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teste19_4"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teste19_5"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teste19_5"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teste20"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teste20"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teste2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2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25_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25_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25_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25_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25_3"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25_3"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25_4"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25_4"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25_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25_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ste30" localSheetId="19"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teste30"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teste40"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40"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40_1"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40_1"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40_2"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40_2"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40_3"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40_3"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40_4"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40_4"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40_5"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ste40_5"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TET"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T"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T_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T_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T_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T_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T_3"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T_3"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T_4"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T_4"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T_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T_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TextRefCopyRangeCount" hidden="1">4</definedName>
    <definedName name="thousand">1000</definedName>
    <definedName name="Time" hidden="1">"b1"</definedName>
    <definedName name="toma" localSheetId="19" hidden="1">{#N/A,#N/A,FALSE,"O&amp;M by processes";#N/A,#N/A,FALSE,"Elec Act vs Bud";#N/A,#N/A,FALSE,"G&amp;A";#N/A,#N/A,FALSE,"BGS";#N/A,#N/A,FALSE,"Res Cost"}</definedName>
    <definedName name="toma" localSheetId="13" hidden="1">{#N/A,#N/A,FALSE,"O&amp;M by processes";#N/A,#N/A,FALSE,"Elec Act vs Bud";#N/A,#N/A,FALSE,"G&amp;A";#N/A,#N/A,FALSE,"BGS";#N/A,#N/A,FALSE,"Res Cost"}</definedName>
    <definedName name="toma" hidden="1">{#N/A,#N/A,FALSE,"O&amp;M by processes";#N/A,#N/A,FALSE,"Elec Act vs Bud";#N/A,#N/A,FALSE,"G&amp;A";#N/A,#N/A,FALSE,"BGS";#N/A,#N/A,FALSE,"Res Cost"}</definedName>
    <definedName name="tomb" localSheetId="19" hidden="1">{#N/A,#N/A,FALSE,"O&amp;M by processes";#N/A,#N/A,FALSE,"Elec Act vs Bud";#N/A,#N/A,FALSE,"G&amp;A";#N/A,#N/A,FALSE,"BGS";#N/A,#N/A,FALSE,"Res Cost"}</definedName>
    <definedName name="tomb" localSheetId="13" hidden="1">{#N/A,#N/A,FALSE,"O&amp;M by processes";#N/A,#N/A,FALSE,"Elec Act vs Bud";#N/A,#N/A,FALSE,"G&amp;A";#N/A,#N/A,FALSE,"BGS";#N/A,#N/A,FALSE,"Res Cost"}</definedName>
    <definedName name="tomb" hidden="1">{#N/A,#N/A,FALSE,"O&amp;M by processes";#N/A,#N/A,FALSE,"Elec Act vs Bud";#N/A,#N/A,FALSE,"G&amp;A";#N/A,#N/A,FALSE,"BGS";#N/A,#N/A,FALSE,"Res Cost"}</definedName>
    <definedName name="tomc" localSheetId="19" hidden="1">{#N/A,#N/A,FALSE,"O&amp;M by processes";#N/A,#N/A,FALSE,"Elec Act vs Bud";#N/A,#N/A,FALSE,"G&amp;A";#N/A,#N/A,FALSE,"BGS";#N/A,#N/A,FALSE,"Res Cost"}</definedName>
    <definedName name="tomc" localSheetId="13" hidden="1">{#N/A,#N/A,FALSE,"O&amp;M by processes";#N/A,#N/A,FALSE,"Elec Act vs Bud";#N/A,#N/A,FALSE,"G&amp;A";#N/A,#N/A,FALSE,"BGS";#N/A,#N/A,FALSE,"Res Cost"}</definedName>
    <definedName name="tomc" hidden="1">{#N/A,#N/A,FALSE,"O&amp;M by processes";#N/A,#N/A,FALSE,"Elec Act vs Bud";#N/A,#N/A,FALSE,"G&amp;A";#N/A,#N/A,FALSE,"BGS";#N/A,#N/A,FALSE,"Res Cost"}</definedName>
    <definedName name="tomd" localSheetId="19" hidden="1">{#N/A,#N/A,FALSE,"O&amp;M by processes";#N/A,#N/A,FALSE,"Elec Act vs Bud";#N/A,#N/A,FALSE,"G&amp;A";#N/A,#N/A,FALSE,"BGS";#N/A,#N/A,FALSE,"Res Cost"}</definedName>
    <definedName name="tomd" localSheetId="13" hidden="1">{#N/A,#N/A,FALSE,"O&amp;M by processes";#N/A,#N/A,FALSE,"Elec Act vs Bud";#N/A,#N/A,FALSE,"G&amp;A";#N/A,#N/A,FALSE,"BGS";#N/A,#N/A,FALSE,"Res Cost"}</definedName>
    <definedName name="tomd" hidden="1">{#N/A,#N/A,FALSE,"O&amp;M by processes";#N/A,#N/A,FALSE,"Elec Act vs Bud";#N/A,#N/A,FALSE,"G&amp;A";#N/A,#N/A,FALSE,"BGS";#N/A,#N/A,FALSE,"Res Cost"}</definedName>
    <definedName name="tomx" localSheetId="19" hidden="1">{#N/A,#N/A,FALSE,"O&amp;M by processes";#N/A,#N/A,FALSE,"Elec Act vs Bud";#N/A,#N/A,FALSE,"G&amp;A";#N/A,#N/A,FALSE,"BGS";#N/A,#N/A,FALSE,"Res Cost"}</definedName>
    <definedName name="tomx" localSheetId="13" hidden="1">{#N/A,#N/A,FALSE,"O&amp;M by processes";#N/A,#N/A,FALSE,"Elec Act vs Bud";#N/A,#N/A,FALSE,"G&amp;A";#N/A,#N/A,FALSE,"BGS";#N/A,#N/A,FALSE,"Res Cost"}</definedName>
    <definedName name="tomx" hidden="1">{#N/A,#N/A,FALSE,"O&amp;M by processes";#N/A,#N/A,FALSE,"Elec Act vs Bud";#N/A,#N/A,FALSE,"G&amp;A";#N/A,#N/A,FALSE,"BGS";#N/A,#N/A,FALSE,"Res Cost"}</definedName>
    <definedName name="tomy" localSheetId="19" hidden="1">{#N/A,#N/A,FALSE,"O&amp;M by processes";#N/A,#N/A,FALSE,"Elec Act vs Bud";#N/A,#N/A,FALSE,"G&amp;A";#N/A,#N/A,FALSE,"BGS";#N/A,#N/A,FALSE,"Res Cost"}</definedName>
    <definedName name="tomy" localSheetId="13" hidden="1">{#N/A,#N/A,FALSE,"O&amp;M by processes";#N/A,#N/A,FALSE,"Elec Act vs Bud";#N/A,#N/A,FALSE,"G&amp;A";#N/A,#N/A,FALSE,"BGS";#N/A,#N/A,FALSE,"Res Cost"}</definedName>
    <definedName name="tomy" hidden="1">{#N/A,#N/A,FALSE,"O&amp;M by processes";#N/A,#N/A,FALSE,"Elec Act vs Bud";#N/A,#N/A,FALSE,"G&amp;A";#N/A,#N/A,FALSE,"BGS";#N/A,#N/A,FALSE,"Res Cost"}</definedName>
    <definedName name="tomz" localSheetId="19" hidden="1">{#N/A,#N/A,FALSE,"O&amp;M by processes";#N/A,#N/A,FALSE,"Elec Act vs Bud";#N/A,#N/A,FALSE,"G&amp;A";#N/A,#N/A,FALSE,"BGS";#N/A,#N/A,FALSE,"Res Cost"}</definedName>
    <definedName name="tomz" localSheetId="13" hidden="1">{#N/A,#N/A,FALSE,"O&amp;M by processes";#N/A,#N/A,FALSE,"Elec Act vs Bud";#N/A,#N/A,FALSE,"G&amp;A";#N/A,#N/A,FALSE,"BGS";#N/A,#N/A,FALSE,"Res Cost"}</definedName>
    <definedName name="tomz" hidden="1">{#N/A,#N/A,FALSE,"O&amp;M by processes";#N/A,#N/A,FALSE,"Elec Act vs Bud";#N/A,#N/A,FALSE,"G&amp;A";#N/A,#N/A,FALSE,"BGS";#N/A,#N/A,FALSE,"Res Cost"}</definedName>
    <definedName name="Tota_Deferred">#REF!</definedName>
    <definedName name="tryertyrty" localSheetId="19" hidden="1">{#N/A,#N/A,FALSE,"Income Statement";#N/A,#N/A,FALSE,"Quarter IS";#N/A,#N/A,FALSE,"US E&amp;P";#N/A,#N/A,FALSE,"International E&amp;P";#N/A,#N/A,FALSE,"Chemicals"}</definedName>
    <definedName name="tryertyrty" hidden="1">{#N/A,#N/A,FALSE,"Income Statement";#N/A,#N/A,FALSE,"Quarter IS";#N/A,#N/A,FALSE,"US E&amp;P";#N/A,#N/A,FALSE,"International E&amp;P";#N/A,#N/A,FALSE,"Chemicals"}</definedName>
    <definedName name="ttt"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ttt"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tyertyerty" localSheetId="19" hidden="1">{TRUE,TRUE,-1.25,-15.5,604.5,343.5,FALSE,FALSE,TRUE,TRUE,0,1,#N/A,1,#N/A,11.0357142857143,23.5294117647059,1,FALSE,FALSE,3,TRUE,1,FALSE,100,"Swvu.normal._.growth.","ACwvu.normal._.growth.",#N/A,FALSE,FALSE,0.75,0.75,1,1,1,"","",TRUE,FALSE,FALSE,FALSE,1,#N/A,1,1,"=R1C1:R20C3",FALSE,#N/A,#N/A,FALSE,FALSE,FALSE,1,#N/A,#N/A,FALSE,FALSE,TRUE,TRUE,TRUE}</definedName>
    <definedName name="tyertyerty" hidden="1">{TRUE,TRUE,-1.25,-15.5,604.5,343.5,FALSE,FALSE,TRUE,TRUE,0,1,#N/A,1,#N/A,11.0357142857143,23.5294117647059,1,FALSE,FALSE,3,TRUE,1,FALSE,100,"Swvu.normal._.growth.","ACwvu.normal._.growth.",#N/A,FALSE,FALSE,0.75,0.75,1,1,1,"","",TRUE,FALSE,FALSE,FALSE,1,#N/A,1,1,"=R1C1:R20C3",FALSE,#N/A,#N/A,FALSE,FALSE,FALSE,1,#N/A,#N/A,FALSE,FALSE,TRUE,TRUE,TRUE}</definedName>
    <definedName name="tyertyeryt" localSheetId="19" hidden="1">{TRUE,TRUE,-1.25,-15.5,604.5,343.5,FALSE,FALSE,TRUE,TRUE,0,1,2,1,13,1,4,4,TRUE,TRUE,3,TRUE,1,TRUE,80,"Swvu.qtr._.for._.IR.","ACwvu.qtr._.for._.IR.",#N/A,FALSE,FALSE,0.65,0.5,1.25,1,2,"","",TRUE,FALSE,FALSE,FALSE,1,#N/A,1,1,"=R1C1:R33C11",FALSE,#N/A,#N/A,FALSE,FALSE,FALSE,1,#N/A,#N/A,FALSE,FALSE,TRUE,TRUE,TRUE}</definedName>
    <definedName name="tyertyeryt" hidden="1">{TRUE,TRUE,-1.25,-15.5,604.5,343.5,FALSE,FALSE,TRUE,TRUE,0,1,2,1,13,1,4,4,TRUE,TRUE,3,TRUE,1,TRUE,80,"Swvu.qtr._.for._.IR.","ACwvu.qtr._.for._.IR.",#N/A,FALSE,FALSE,0.65,0.5,1.25,1,2,"","",TRUE,FALSE,FALSE,FALSE,1,#N/A,1,1,"=R1C1:R33C11",FALSE,#N/A,#N/A,FALSE,FALSE,FALSE,1,#N/A,#N/A,FALSE,FALSE,TRUE,TRUE,TRUE}</definedName>
    <definedName name="Typist" hidden="1">"b1"</definedName>
    <definedName name="UIO49X"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UIO49X"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UIO49X_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UIO49X_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UIO49X_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UIO49X_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UIO49X_3"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UIO49X_3"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UIO49X_4"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UIO49X_4"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UIO49X_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UIO49X_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uwu" localSheetId="19" hidden="1">{#N/A,#N/A,FALSE,"QTR Total";#N/A,#N/A,FALSE,"QTR ASNS";#N/A,#N/A,FALSE,"QTR PNCNS";#N/A,#N/A,FALSE,"QTR DSNS";#N/A,#N/A,FALSE,"QTR TNS"}</definedName>
    <definedName name="uwu" hidden="1">{#N/A,#N/A,FALSE,"QTR Total";#N/A,#N/A,FALSE,"QTR ASNS";#N/A,#N/A,FALSE,"QTR PNCNS";#N/A,#N/A,FALSE,"QTR DSNS";#N/A,#N/A,FALSE,"QTR TNS"}</definedName>
    <definedName name="v" localSheetId="19" hidden="1">{#N/A,#N/A,FALSE,"TOTFINAL";#N/A,#N/A,FALSE,"FINPLAN";#N/A,#N/A,FALSE,"TOTMOTADJ";#N/A,#N/A,FALSE,"tieEQ";#N/A,#N/A,FALSE,"G";#N/A,#N/A,FALSE,"ELIMS";#N/A,#N/A,FALSE,"NEXTEL ADJ";#N/A,#N/A,FALSE,"MIMS";#N/A,#N/A,FALSE,"LMPS";#N/A,#N/A,FALSE,"CNSS";#N/A,#N/A,FALSE,"CSS";#N/A,#N/A,FALSE,"MCG";#N/A,#N/A,FALSE,"AECS";#N/A,#N/A,FALSE,"SPS";#N/A,#N/A,FALSE,"CORP"}</definedName>
    <definedName name="v" hidden="1">{#N/A,#N/A,FALSE,"TOTFINAL";#N/A,#N/A,FALSE,"FINPLAN";#N/A,#N/A,FALSE,"TOTMOTADJ";#N/A,#N/A,FALSE,"tieEQ";#N/A,#N/A,FALSE,"G";#N/A,#N/A,FALSE,"ELIMS";#N/A,#N/A,FALSE,"NEXTEL ADJ";#N/A,#N/A,FALSE,"MIMS";#N/A,#N/A,FALSE,"LMPS";#N/A,#N/A,FALSE,"CNSS";#N/A,#N/A,FALSE,"CSS";#N/A,#N/A,FALSE,"MCG";#N/A,#N/A,FALSE,"AECS";#N/A,#N/A,FALSE,"SPS";#N/A,#N/A,FALSE,"CORP"}</definedName>
    <definedName name="Version" hidden="1">"a1"</definedName>
    <definedName name="vv"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vv"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w3r345" localSheetId="19"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w3r345"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waefar" localSheetId="19"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waefar"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WARR" hidden="1">[9]Sheet2!#REF!</definedName>
    <definedName name="we" localSheetId="19" hidden="1">{#N/A,#N/A,FALSE,"1997 WW (Short)";#N/A,#N/A,FALSE,"1997 RF Mfg";#N/A,#N/A,FALSE,"Ancillary-CSM";#N/A,#N/A,FALSE,"1997 Service"}</definedName>
    <definedName name="we" hidden="1">{#N/A,#N/A,FALSE,"1997 WW (Short)";#N/A,#N/A,FALSE,"1997 RF Mfg";#N/A,#N/A,FALSE,"Ancillary-CSM";#N/A,#N/A,FALSE,"1997 Service"}</definedName>
    <definedName name="wef" localSheetId="19" hidden="1">{TRUE,TRUE,-1.25,-15.5,604.5,343.5,FALSE,FALSE,TRUE,TRUE,0,1,#N/A,1,35,14.1666666666667,3,3,FALSE,TRUE,3,TRUE,1,TRUE,85,"Swvu.oil._.and._.gas._.details.","ACwvu.oil._.and._.gas._.details.",#N/A,FALSE,FALSE,0.75,0.75,1,1,1,"","",TRUE,FALSE,FALSE,FALSE,1,#N/A,1,1,"=R1C1:R59C11","=R1:R3",#N/A,#N/A,FALSE,FALSE,FALSE,1,#N/A,#N/A,FALSE,FALSE,TRUE,TRUE,TRUE}</definedName>
    <definedName name="wef" hidden="1">{TRUE,TRUE,-1.25,-15.5,604.5,343.5,FALSE,FALSE,TRUE,TRUE,0,1,#N/A,1,35,14.1666666666667,3,3,FALSE,TRUE,3,TRUE,1,TRUE,85,"Swvu.oil._.and._.gas._.details.","ACwvu.oil._.and._.gas._.details.",#N/A,FALSE,FALSE,0.75,0.75,1,1,1,"","",TRUE,FALSE,FALSE,FALSE,1,#N/A,1,1,"=R1C1:R59C11","=R1:R3",#N/A,#N/A,FALSE,FALSE,FALSE,1,#N/A,#N/A,FALSE,FALSE,TRUE,TRUE,TRUE}</definedName>
    <definedName name="WEFA" localSheetId="19" hidden="1">{TRUE,TRUE,-1.25,-21.5,964.5,725.25,FALSE,FALSE,TRUE,FALSE,35,3,22,1,#N/A,14.0676691729323,49.5294117647059,1,TRUE,FALSE,3,FALSE,1,FALSE,100,"Swvu.Table.","ACwvu.Table.",#N/A,FALSE,FALSE,0.75,0.75,1,1,1,"&amp;A","Page &amp;P",FALSE,FALSE,FALSE,FALSE,1,70,#N/A,#N/A,FALSE,FALSE,"Rwvu.Table.",#N/A,FALSE,FALSE,TRUE,1,65532,65532,FALSE,FALSE,FALSE,FALSE,FALSE}</definedName>
    <definedName name="WEFA" hidden="1">{TRUE,TRUE,-1.25,-21.5,964.5,725.25,FALSE,FALSE,TRUE,FALSE,35,3,22,1,#N/A,14.0676691729323,49.5294117647059,1,TRUE,FALSE,3,FALSE,1,FALSE,100,"Swvu.Table.","ACwvu.Table.",#N/A,FALSE,FALSE,0.75,0.75,1,1,1,"&amp;A","Page &amp;P",FALSE,FALSE,FALSE,FALSE,1,70,#N/A,#N/A,FALSE,FALSE,"Rwvu.Table.",#N/A,FALSE,FALSE,TRUE,1,65532,65532,FALSE,FALSE,FALSE,FALSE,FALSE}</definedName>
    <definedName name="wertewrtewrt" localSheetId="19" hidden="1">{"WestHem EP Price and Vol Detail",#N/A,FALSE,"West Hemp - Other ";"Eur EP Price and Vol Detail",#N/A,FALSE,"Eur E&amp;P";"EastHem EP Price and Vol Detail",#N/A,FALSE,"East Hemp - Other";"Equity EP Price and Vol Detail",#N/A,FALSE,"Equity Affiliate EP";"Foreign RM Operating Stats",#N/A,FALSE,"Foreign R&amp;M"}</definedName>
    <definedName name="wertewrtewrt" hidden="1">{"WestHem EP Price and Vol Detail",#N/A,FALSE,"West Hemp - Other ";"Eur EP Price and Vol Detail",#N/A,FALSE,"Eur E&amp;P";"EastHem EP Price and Vol Detail",#N/A,FALSE,"East Hemp - Other";"Equity EP Price and Vol Detail",#N/A,FALSE,"Equity Affiliate EP";"Foreign RM Operating Stats",#N/A,FALSE,"Foreign R&amp;M"}</definedName>
    <definedName name="wertewrtw" localSheetId="19" hidden="1">{#N/A,#N/A,FALSE,"Cover";"Factsheet",#N/A,FALSE,"Factsheet";"GPVM",#N/A,FALSE,"DDM";"normal growth",#N/A,FALSE,"Normal Growth";"Earnings",#N/A,FALSE,"Earnings";"interim model",#N/A,FALSE,"Interim";"balancesheet",#N/A,FALSE,"BalanceSheet";"balance sheet details",#N/A,FALSE,"BalanceSheet";"change in cash",#N/A,FALSE,"CashFlow";"UK oil and gas results",#N/A,FALSE,"UK Production";"Int. Oil and Gas Results",#N/A,FALSE,"International E&amp;P";"capexsum",#N/A,FALSE,"CAPEX Sum";"K",#N/A,FALSE,"Forecast K (2)"}</definedName>
    <definedName name="wertewrtw" hidden="1">{#N/A,#N/A,FALSE,"Cover";"Factsheet",#N/A,FALSE,"Factsheet";"GPVM",#N/A,FALSE,"DDM";"normal growth",#N/A,FALSE,"Normal Growth";"Earnings",#N/A,FALSE,"Earnings";"interim model",#N/A,FALSE,"Interim";"balancesheet",#N/A,FALSE,"BalanceSheet";"balance sheet details",#N/A,FALSE,"BalanceSheet";"change in cash",#N/A,FALSE,"CashFlow";"UK oil and gas results",#N/A,FALSE,"UK Production";"Int. Oil and Gas Results",#N/A,FALSE,"International E&amp;P";"capexsum",#N/A,FALSE,"CAPEX Sum";"K",#N/A,FALSE,"Forecast K (2)"}</definedName>
    <definedName name="wertwert" localSheetId="19" hidden="1">{"Factsheet",#N/A,FALSE,"Fact";"Earnings",#N/A,FALSE,"Earnings";"BalanceSheet",#N/A,FALSE,"BalanceSheet";"Change in Cash",#N/A,FALSE,"CashFlow";"Q Rating",#N/A,FALSE,"Q-Rating";"Dupont",#N/A,FALSE,"Dupont"}</definedName>
    <definedName name="wertwert" hidden="1">{"Factsheet",#N/A,FALSE,"Fact";"Earnings",#N/A,FALSE,"Earnings";"BalanceSheet",#N/A,FALSE,"BalanceSheet";"Change in Cash",#N/A,FALSE,"CashFlow";"Q Rating",#N/A,FALSE,"Q-Rating";"Dupont",#N/A,FALSE,"Dupont"}</definedName>
    <definedName name="wertwertewrt" localSheetId="19" hidden="1">{"Factsheet",#N/A,FALSE,"Fact";"Earnings",#N/A,FALSE,"Earnings";"BalanceSheet",#N/A,FALSE,"BalanceSheet";"Balance Sheet Details",#N/A,FALSE,"BalanceSheet";"ChangeinCash",#N/A,FALSE,"CashFlow";"UpstrmNormalErngs",#N/A,FALSE,"NormEngUp";"NormalEngs",#N/A,FALSE,"NormalEngs";"NormalGrowth",#N/A,FALSE,"NormalGrowth";"US EP Earnings",#N/A,FALSE,"US E&amp;P";"US EP Price Vol Detail",#N/A,FALSE,"US E&amp;P";"International EP Earnings",#N/A,FALSE,"International E&amp;P";"International EP Price Vol Detail",#N/A,FALSE,"International E&amp;P";"ENPSummary",#N/A,FALSE,"E&amp;P Summary";"GPMEarnings",#N/A,FALSE,"GPM";"RMT Earnings",#N/A,FALSE,"RM&amp;T";"RMT Operating Details",#N/A,FALSE,"RM&amp;T";"Chemicals",#N/A,FALSE,"Chemicals";"CapexSummary",#N/A,FALSE,"CAPEX Sum";"quarterly",#N/A,FALSE,"Quarters";"ROCE",#N/A,FALSE,"ROCE";"NAV",#N/A,FALSE,"NAV";"DCF",#N/A,FALSE,"DCFEVA";"QRating",#N/A,FALSE,"Q-Rating";"Dupont",#N/A,FALSE,"Dupont";"assumptions",#N/A,FALSE,"Assumptions"}</definedName>
    <definedName name="wertwertewrt" hidden="1">{"Factsheet",#N/A,FALSE,"Fact";"Earnings",#N/A,FALSE,"Earnings";"BalanceSheet",#N/A,FALSE,"BalanceSheet";"Balance Sheet Details",#N/A,FALSE,"BalanceSheet";"ChangeinCash",#N/A,FALSE,"CashFlow";"UpstrmNormalErngs",#N/A,FALSE,"NormEngUp";"NormalEngs",#N/A,FALSE,"NormalEngs";"NormalGrowth",#N/A,FALSE,"NormalGrowth";"US EP Earnings",#N/A,FALSE,"US E&amp;P";"US EP Price Vol Detail",#N/A,FALSE,"US E&amp;P";"International EP Earnings",#N/A,FALSE,"International E&amp;P";"International EP Price Vol Detail",#N/A,FALSE,"International E&amp;P";"ENPSummary",#N/A,FALSE,"E&amp;P Summary";"GPMEarnings",#N/A,FALSE,"GPM";"RMT Earnings",#N/A,FALSE,"RM&amp;T";"RMT Operating Details",#N/A,FALSE,"RM&amp;T";"Chemicals",#N/A,FALSE,"Chemicals";"CapexSummary",#N/A,FALSE,"CAPEX Sum";"quarterly",#N/A,FALSE,"Quarters";"ROCE",#N/A,FALSE,"ROCE";"NAV",#N/A,FALSE,"NAV";"DCF",#N/A,FALSE,"DCFEVA";"QRating",#N/A,FALSE,"Q-Rating";"Dupont",#N/A,FALSE,"Dupont";"assumptions",#N/A,FALSE,"Assumptions"}</definedName>
    <definedName name="wertwertwer" localSheetId="19" hidden="1">{"Earnings",#N/A,FALSE,"Earnings";"BalanceSheet",#N/A,FALSE,"BalanceSheet";"ChangesinCash",#N/A,FALSE,"CashFlow";"Factsheet",#N/A,FALSE,"Factsheet";"Financial_Ratios",#N/A,FALSE,"CashFlow";"US_ENP_per_Bbl",#N/A,FALSE,"USE&amp;P";"USENP_DCF",#N/A,FALSE,"USE&amp;P";"Eur_ENP_per_Bbl",#N/A,FALSE,"EURE&amp;P";"EURENP_DCF",#N/A,FALSE,"EURE&amp;P";"Can_ENP_per_Bbl",#N/A,FALSE,"CAN&amp;OTHE&amp;P";"Can_ENP_DCF",#N/A,FALSE,"CAN&amp;OTHE&amp;P";"Other_ENP_per_Bbl",#N/A,FALSE,"CAN&amp;OTHE&amp;P";"Other_ENP_DCF",#N/A,FALSE,"CAN&amp;OTHE&amp;P";"Production_Summary",#N/A,FALSE,"E&amp;PSum";"Capital_Expends",#N/A,FALSE,"E&amp;PSum";"US_RNM_Engs",#N/A,FALSE,"USR&amp;M";"US_RNM_Operating_Stats",#N/A,FALSE,"USR&amp;M";"US_RNM_DCF",#N/A,FALSE,"USR&amp;M";"ROW_RNM_Earnings",#N/A,FALSE,"ROWR&amp;M";"ROW_RNM_Operating_Stats",#N/A,FALSE,"ROWR&amp;M";"ROW_RNM_DCF",#N/A,FALSE,"ROWR&amp;M";"Chemicals_Earnings",#N/A,FALSE,"Chemicals";"Benchmark_Price_Assumptions",#N/A,FALSE,"Assumptions";"Net_Asset_Value",#N/A,FALSE,"NAV";"Quarterly_Earnings",#N/A,FALSE,"Quarterly";"ROCE",#N/A,FALSE,"ROCE";"Dupont",#N/A,FALSE,"Dupont"}</definedName>
    <definedName name="wertwertwer" hidden="1">{"Earnings",#N/A,FALSE,"Earnings";"BalanceSheet",#N/A,FALSE,"BalanceSheet";"ChangesinCash",#N/A,FALSE,"CashFlow";"Factsheet",#N/A,FALSE,"Factsheet";"Financial_Ratios",#N/A,FALSE,"CashFlow";"US_ENP_per_Bbl",#N/A,FALSE,"USE&amp;P";"USENP_DCF",#N/A,FALSE,"USE&amp;P";"Eur_ENP_per_Bbl",#N/A,FALSE,"EURE&amp;P";"EURENP_DCF",#N/A,FALSE,"EURE&amp;P";"Can_ENP_per_Bbl",#N/A,FALSE,"CAN&amp;OTHE&amp;P";"Can_ENP_DCF",#N/A,FALSE,"CAN&amp;OTHE&amp;P";"Other_ENP_per_Bbl",#N/A,FALSE,"CAN&amp;OTHE&amp;P";"Other_ENP_DCF",#N/A,FALSE,"CAN&amp;OTHE&amp;P";"Production_Summary",#N/A,FALSE,"E&amp;PSum";"Capital_Expends",#N/A,FALSE,"E&amp;PSum";"US_RNM_Engs",#N/A,FALSE,"USR&amp;M";"US_RNM_Operating_Stats",#N/A,FALSE,"USR&amp;M";"US_RNM_DCF",#N/A,FALSE,"USR&amp;M";"ROW_RNM_Earnings",#N/A,FALSE,"ROWR&amp;M";"ROW_RNM_Operating_Stats",#N/A,FALSE,"ROWR&amp;M";"ROW_RNM_DCF",#N/A,FALSE,"ROWR&amp;M";"Chemicals_Earnings",#N/A,FALSE,"Chemicals";"Benchmark_Price_Assumptions",#N/A,FALSE,"Assumptions";"Net_Asset_Value",#N/A,FALSE,"NAV";"Quarterly_Earnings",#N/A,FALSE,"Quarterly";"ROCE",#N/A,FALSE,"ROCE";"Dupont",#N/A,FALSE,"Dupont"}</definedName>
    <definedName name="wh" localSheetId="19" hidden="1">{#N/A,#N/A,FALSE,"O&amp;M by processes";#N/A,#N/A,FALSE,"Elec Act vs Bud";#N/A,#N/A,FALSE,"G&amp;A";#N/A,#N/A,FALSE,"BGS";#N/A,#N/A,FALSE,"Res Cost"}</definedName>
    <definedName name="wh" localSheetId="13" hidden="1">{#N/A,#N/A,FALSE,"O&amp;M by processes";#N/A,#N/A,FALSE,"Elec Act vs Bud";#N/A,#N/A,FALSE,"G&amp;A";#N/A,#N/A,FALSE,"BGS";#N/A,#N/A,FALSE,"Res Cost"}</definedName>
    <definedName name="wh" hidden="1">{#N/A,#N/A,FALSE,"O&amp;M by processes";#N/A,#N/A,FALSE,"Elec Act vs Bud";#N/A,#N/A,FALSE,"G&amp;A";#N/A,#N/A,FALSE,"BGS";#N/A,#N/A,FALSE,"Res Cost"}</definedName>
    <definedName name="what" localSheetId="19" hidden="1">{#N/A,#N/A,FALSE,"O&amp;M by processes";#N/A,#N/A,FALSE,"Elec Act vs Bud";#N/A,#N/A,FALSE,"G&amp;A";#N/A,#N/A,FALSE,"BGS";#N/A,#N/A,FALSE,"Res Cost"}</definedName>
    <definedName name="what" localSheetId="13" hidden="1">{#N/A,#N/A,FALSE,"O&amp;M by processes";#N/A,#N/A,FALSE,"Elec Act vs Bud";#N/A,#N/A,FALSE,"G&amp;A";#N/A,#N/A,FALSE,"BGS";#N/A,#N/A,FALSE,"Res Cost"}</definedName>
    <definedName name="what" hidden="1">{#N/A,#N/A,FALSE,"O&amp;M by processes";#N/A,#N/A,FALSE,"Elec Act vs Bud";#N/A,#N/A,FALSE,"G&amp;A";#N/A,#N/A,FALSE,"BGS";#N/A,#N/A,FALSE,"Res Cost"}</definedName>
    <definedName name="what2" localSheetId="19" hidden="1">{"Age 50; 100% - NPPC",#N/A,FALSE,"Age 50; 100%";"Age 50; 100% - PSC",#N/A,FALSE,"Age 50; 100%";"Age 50; 100% - Gain/Loss",#N/A,FALSE,"Age 50; 100%"}</definedName>
    <definedName name="what2" hidden="1">{"Age 50; 100% - NPPC",#N/A,FALSE,"Age 50; 100%";"Age 50; 100% - PSC",#N/A,FALSE,"Age 50; 100%";"Age 50; 100% - Gain/Loss",#N/A,FALSE,"Age 50; 100%"}</definedName>
    <definedName name="what3" localSheetId="19" hidden="1">{"Age 50; 50% - NPPC",#N/A,FALSE,"Age 50; 50%";"Age 50; 50% - PSC",#N/A,FALSE,"Age 50; 50%";"Age 50; 50% - Gain/Loss",#N/A,FALSE,"Age 50; 50%"}</definedName>
    <definedName name="what3" hidden="1">{"Age 50; 50% - NPPC",#N/A,FALSE,"Age 50; 50%";"Age 50; 50% - PSC",#N/A,FALSE,"Age 50; 50%";"Age 50; 50% - Gain/Loss",#N/A,FALSE,"Age 50; 50%"}</definedName>
    <definedName name="Whatwhat" localSheetId="19" hidden="1">{#N/A,#N/A,FALSE,"O&amp;M by processes";#N/A,#N/A,FALSE,"Elec Act vs Bud";#N/A,#N/A,FALSE,"G&amp;A";#N/A,#N/A,FALSE,"BGS";#N/A,#N/A,FALSE,"Res Cost"}</definedName>
    <definedName name="Whatwhat" localSheetId="13" hidden="1">{#N/A,#N/A,FALSE,"O&amp;M by processes";#N/A,#N/A,FALSE,"Elec Act vs Bud";#N/A,#N/A,FALSE,"G&amp;A";#N/A,#N/A,FALSE,"BGS";#N/A,#N/A,FALSE,"Res Cost"}</definedName>
    <definedName name="Whatwhat" hidden="1">{#N/A,#N/A,FALSE,"O&amp;M by processes";#N/A,#N/A,FALSE,"Elec Act vs Bud";#N/A,#N/A,FALSE,"G&amp;A";#N/A,#N/A,FALSE,"BGS";#N/A,#N/A,FALSE,"Res Cost"}</definedName>
    <definedName name="who" localSheetId="19" hidden="1">{#N/A,#N/A,FALSE,"O&amp;M by processes";#N/A,#N/A,FALSE,"Elec Act vs Bud";#N/A,#N/A,FALSE,"G&amp;A";#N/A,#N/A,FALSE,"BGS";#N/A,#N/A,FALSE,"Res Cost"}</definedName>
    <definedName name="who" localSheetId="13" hidden="1">{#N/A,#N/A,FALSE,"O&amp;M by processes";#N/A,#N/A,FALSE,"Elec Act vs Bud";#N/A,#N/A,FALSE,"G&amp;A";#N/A,#N/A,FALSE,"BGS";#N/A,#N/A,FALSE,"Res Cost"}</definedName>
    <definedName name="who" hidden="1">{#N/A,#N/A,FALSE,"O&amp;M by processes";#N/A,#N/A,FALSE,"Elec Act vs Bud";#N/A,#N/A,FALSE,"G&amp;A";#N/A,#N/A,FALSE,"BGS";#N/A,#N/A,FALSE,"Res Cost"}</definedName>
    <definedName name="whowho" localSheetId="19" hidden="1">{#N/A,#N/A,FALSE,"O&amp;M by processes";#N/A,#N/A,FALSE,"Elec Act vs Bud";#N/A,#N/A,FALSE,"G&amp;A";#N/A,#N/A,FALSE,"BGS";#N/A,#N/A,FALSE,"Res Cost"}</definedName>
    <definedName name="whowho" localSheetId="13" hidden="1">{#N/A,#N/A,FALSE,"O&amp;M by processes";#N/A,#N/A,FALSE,"Elec Act vs Bud";#N/A,#N/A,FALSE,"G&amp;A";#N/A,#N/A,FALSE,"BGS";#N/A,#N/A,FALSE,"Res Cost"}</definedName>
    <definedName name="whowho" hidden="1">{#N/A,#N/A,FALSE,"O&amp;M by processes";#N/A,#N/A,FALSE,"Elec Act vs Bud";#N/A,#N/A,FALSE,"G&amp;A";#N/A,#N/A,FALSE,"BGS";#N/A,#N/A,FALSE,"Res Cost"}</definedName>
    <definedName name="whwh" localSheetId="19" hidden="1">{#N/A,#N/A,FALSE,"O&amp;M by processes";#N/A,#N/A,FALSE,"Elec Act vs Bud";#N/A,#N/A,FALSE,"G&amp;A";#N/A,#N/A,FALSE,"BGS";#N/A,#N/A,FALSE,"Res Cost"}</definedName>
    <definedName name="whwh" localSheetId="13" hidden="1">{#N/A,#N/A,FALSE,"O&amp;M by processes";#N/A,#N/A,FALSE,"Elec Act vs Bud";#N/A,#N/A,FALSE,"G&amp;A";#N/A,#N/A,FALSE,"BGS";#N/A,#N/A,FALSE,"Res Cost"}</definedName>
    <definedName name="whwh" hidden="1">{#N/A,#N/A,FALSE,"O&amp;M by processes";#N/A,#N/A,FALSE,"Elec Act vs Bud";#N/A,#N/A,FALSE,"G&amp;A";#N/A,#N/A,FALSE,"BGS";#N/A,#N/A,FALSE,"Res Cost"}</definedName>
    <definedName name="why" localSheetId="19" hidden="1">{#N/A,#N/A,FALSE,"O&amp;M by processes";#N/A,#N/A,FALSE,"Elec Act vs Bud";#N/A,#N/A,FALSE,"G&amp;A";#N/A,#N/A,FALSE,"BGS";#N/A,#N/A,FALSE,"Res Cost"}</definedName>
    <definedName name="why" localSheetId="13" hidden="1">{#N/A,#N/A,FALSE,"O&amp;M by processes";#N/A,#N/A,FALSE,"Elec Act vs Bud";#N/A,#N/A,FALSE,"G&amp;A";#N/A,#N/A,FALSE,"BGS";#N/A,#N/A,FALSE,"Res Cost"}</definedName>
    <definedName name="why" hidden="1">{#N/A,#N/A,FALSE,"O&amp;M by processes";#N/A,#N/A,FALSE,"Elec Act vs Bud";#N/A,#N/A,FALSE,"G&amp;A";#N/A,#N/A,FALSE,"BGS";#N/A,#N/A,FALSE,"Res Cost"}</definedName>
    <definedName name="WO">[10]WOTable!$A$2:$E$68</definedName>
    <definedName name="WOList">[10]WOTable!$A$2:$E$109</definedName>
    <definedName name="wre"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wre"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wrn" localSheetId="19" hidden="1">{#N/A,#N/A,FALSE,"O&amp;M by processes";#N/A,#N/A,FALSE,"Elec Act vs Bud";#N/A,#N/A,FALSE,"G&amp;A";#N/A,#N/A,FALSE,"BGS";#N/A,#N/A,FALSE,"Res Cost"}</definedName>
    <definedName name="wrn" localSheetId="13" hidden="1">{#N/A,#N/A,FALSE,"O&amp;M by processes";#N/A,#N/A,FALSE,"Elec Act vs Bud";#N/A,#N/A,FALSE,"G&amp;A";#N/A,#N/A,FALSE,"BGS";#N/A,#N/A,FALSE,"Res Cost"}</definedName>
    <definedName name="wrn" hidden="1">{#N/A,#N/A,FALSE,"O&amp;M by processes";#N/A,#N/A,FALSE,"Elec Act vs Bud";#N/A,#N/A,FALSE,"G&amp;A";#N/A,#N/A,FALSE,"BGS";#N/A,#N/A,FALSE,"Res Cost"}</definedName>
    <definedName name="wrn.01_All_Package." localSheetId="19" hidden="1">{#N/A,#N/A,TRUE,"Cover";#N/A,#N/A,TRUE,"Comments PCS";#N/A,#N/A,TRUE,"Comments CIG";#N/A,#N/A,TRUE,"Comments IDEN";#N/A,#N/A,TRUE,"BS PCS";#N/A,#N/A,TRUE,"BS CIG";#N/A,#N/A,TRUE,"BS IDEN";#N/A,#N/A,TRUE,"BS TOTAL";#N/A,#N/A,TRUE,"BS_ESG ";#N/A,#N/A,TRUE,"Balance SPS";#N/A,#N/A,TRUE,"BS_CORPORATE";#N/A,#N/A,TRUE,"P&amp;L PCS";#N/A,#N/A,TRUE,"P&amp;L FWT";#N/A,#N/A,TRUE,"P&amp;L CIG";#N/A,#N/A,TRUE,"P&amp;L IDEN";#N/A,#N/A,TRUE,"P&amp;L TOTAL";#N/A,#N/A,TRUE,"P&amp;L_SPS";#N/A,#N/A,TRUE,"P&amp;L_ESG";#N/A,#N/A,TRUE,"P&amp;L_CORP";#N/A,#N/A,TRUE,"Cash Flow PCS";#N/A,#N/A,TRUE,"Cash Flow CIG";#N/A,#N/A,TRUE,"Cash Flow IDEN";#N/A,#N/A,TRUE,"Cash Flow TOTAL";#N/A,#N/A,TRUE,"MBR PCS";#N/A,#N/A,TRUE,"MBR CIG";#N/A,#N/A,TRUE,"MBR iDEN";#N/A,#N/A,TRUE,"MBR_FWT";#N/A,#N/A,TRUE,"MBR TOTAL";#N/A,#N/A,TRUE,"Headcount_PCS ";#N/A,#N/A,TRUE,"Headcount CIG";#N/A,#N/A,TRUE,"Headcount iDEN";#N/A,#N/A,TRUE,"JAG PLANT TREND";#N/A,#N/A,TRUE,"FAB UN CSG ";#N/A,#N/A,TRUE,"FAB UN CIG";#N/A,#N/A,TRUE,"FAB UN PPG";#N/A,#N/A,TRUE,"FAB UN IDEN";#N/A,#N/A,TRUE,"FAB UN FWT";#N/A,#N/A,TRUE,"CSS MFG";#N/A,#N/A,TRUE,"CSS Distr";#N/A,#N/A,TRUE,"CSG 6-Up Charts";#N/A,#N/A,TRUE,"CIG MFG";#N/A,#N/A,TRUE,"IDEN MFG";#N/A,#N/A,TRUE,"IDEN 6-Up Charts  ";#N/A,#N/A,TRUE,"FWT MFG";#N/A,#N/A,TRUE,"FWT 6-Up Charts ";#N/A,#N/A,TRUE,"PCS Inventory";#N/A,#N/A,TRUE,"CIG Inventory";#N/A,#N/A,TRUE,"IDEN Inventory";#N/A,#N/A,TRUE,"FWT Inventory";#N/A,#N/A,TRUE,"CE JAG Inventory";#N/A,#N/A,TRUE,"Capital Expenditures";#N/A,#N/A,TRUE,"FM CSG";#N/A,#N/A,TRUE,"NSAD ASP CGS";#N/A,#N/A,TRUE,"FM CIG";#N/A,#N/A,TRUE,"NSAD ASP CIG";#N/A,#N/A,TRUE,"FM iDEN";#N/A,#N/A,TRUE,"NSAD IDEN";#N/A,#N/A,TRUE,"R&amp;D  Report";#N/A,#N/A,TRUE,"PCS Credit";#N/A,#N/A,TRUE,"PCS Mrg Analysis";#N/A,#N/A,TRUE,"Dpc Tango";#N/A,#N/A,TRUE,"Startac Analog";#N/A,#N/A,TRUE,"Mercury CDMA";#N/A,#N/A,TRUE,"Startac CDMA";#N/A,#N/A,TRUE,"Startac TDMA";#N/A,#N/A,TRUE,"Modulus TDMA";#N/A,#N/A,TRUE,"CIG Mrg Analysis";#N/A,#N/A,TRUE,"IDEN Mrg Analysis"}</definedName>
    <definedName name="wrn.01_All_Package." hidden="1">{#N/A,#N/A,TRUE,"Cover";#N/A,#N/A,TRUE,"Comments PCS";#N/A,#N/A,TRUE,"Comments CIG";#N/A,#N/A,TRUE,"Comments IDEN";#N/A,#N/A,TRUE,"BS PCS";#N/A,#N/A,TRUE,"BS CIG";#N/A,#N/A,TRUE,"BS IDEN";#N/A,#N/A,TRUE,"BS TOTAL";#N/A,#N/A,TRUE,"BS_ESG ";#N/A,#N/A,TRUE,"Balance SPS";#N/A,#N/A,TRUE,"BS_CORPORATE";#N/A,#N/A,TRUE,"P&amp;L PCS";#N/A,#N/A,TRUE,"P&amp;L FWT";#N/A,#N/A,TRUE,"P&amp;L CIG";#N/A,#N/A,TRUE,"P&amp;L IDEN";#N/A,#N/A,TRUE,"P&amp;L TOTAL";#N/A,#N/A,TRUE,"P&amp;L_SPS";#N/A,#N/A,TRUE,"P&amp;L_ESG";#N/A,#N/A,TRUE,"P&amp;L_CORP";#N/A,#N/A,TRUE,"Cash Flow PCS";#N/A,#N/A,TRUE,"Cash Flow CIG";#N/A,#N/A,TRUE,"Cash Flow IDEN";#N/A,#N/A,TRUE,"Cash Flow TOTAL";#N/A,#N/A,TRUE,"MBR PCS";#N/A,#N/A,TRUE,"MBR CIG";#N/A,#N/A,TRUE,"MBR iDEN";#N/A,#N/A,TRUE,"MBR_FWT";#N/A,#N/A,TRUE,"MBR TOTAL";#N/A,#N/A,TRUE,"Headcount_PCS ";#N/A,#N/A,TRUE,"Headcount CIG";#N/A,#N/A,TRUE,"Headcount iDEN";#N/A,#N/A,TRUE,"JAG PLANT TREND";#N/A,#N/A,TRUE,"FAB UN CSG ";#N/A,#N/A,TRUE,"FAB UN CIG";#N/A,#N/A,TRUE,"FAB UN PPG";#N/A,#N/A,TRUE,"FAB UN IDEN";#N/A,#N/A,TRUE,"FAB UN FWT";#N/A,#N/A,TRUE,"CSS MFG";#N/A,#N/A,TRUE,"CSS Distr";#N/A,#N/A,TRUE,"CSG 6-Up Charts";#N/A,#N/A,TRUE,"CIG MFG";#N/A,#N/A,TRUE,"IDEN MFG";#N/A,#N/A,TRUE,"IDEN 6-Up Charts  ";#N/A,#N/A,TRUE,"FWT MFG";#N/A,#N/A,TRUE,"FWT 6-Up Charts ";#N/A,#N/A,TRUE,"PCS Inventory";#N/A,#N/A,TRUE,"CIG Inventory";#N/A,#N/A,TRUE,"IDEN Inventory";#N/A,#N/A,TRUE,"FWT Inventory";#N/A,#N/A,TRUE,"CE JAG Inventory";#N/A,#N/A,TRUE,"Capital Expenditures";#N/A,#N/A,TRUE,"FM CSG";#N/A,#N/A,TRUE,"NSAD ASP CGS";#N/A,#N/A,TRUE,"FM CIG";#N/A,#N/A,TRUE,"NSAD ASP CIG";#N/A,#N/A,TRUE,"FM iDEN";#N/A,#N/A,TRUE,"NSAD IDEN";#N/A,#N/A,TRUE,"R&amp;D  Report";#N/A,#N/A,TRUE,"PCS Credit";#N/A,#N/A,TRUE,"PCS Mrg Analysis";#N/A,#N/A,TRUE,"Dpc Tango";#N/A,#N/A,TRUE,"Startac Analog";#N/A,#N/A,TRUE,"Mercury CDMA";#N/A,#N/A,TRUE,"Startac CDMA";#N/A,#N/A,TRUE,"Startac TDMA";#N/A,#N/A,TRUE,"Modulus TDMA";#N/A,#N/A,TRUE,"CIG Mrg Analysis";#N/A,#N/A,TRUE,"IDEN Mrg Analysis"}</definedName>
    <definedName name="wrn.02_PCS."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wrn.02_PCS."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wrn.02_PCS._1"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wrn.02_PCS._1"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wrn.02_PCS._2"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wrn.02_PCS._2"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wrn.02_PCS._3"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wrn.02_PCS._3"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wrn.02_PCS._4"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wrn.02_PCS._4"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wrn.02_PCS._5"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wrn.02_PCS._5"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Analysis";#N/A,#N/A,FALSE,"Dpc Tango";#N/A,#N/A,FALSE,"Startac Analog";#N/A,#N/A,FALSE,"Mercury CDMA";#N/A,#N/A,FALSE,"Startac CDMA";#N/A,#N/A,FALSE,"Startac TDMA";#N/A,#N/A,FALSE,"Modulus TDMA";#N/A,#N/A,FALSE,"PCS Credit"}</definedName>
    <definedName name="wrn.03_Corporate." localSheetId="19" hidden="1">{#N/A,#N/A,FALSE,"BS_CORPORATE"}</definedName>
    <definedName name="wrn.03_Corporate." hidden="1">{#N/A,#N/A,FALSE,"BS_CORPORATE"}</definedName>
    <definedName name="wrn.03_Corporate._1" localSheetId="19" hidden="1">{#N/A,#N/A,FALSE,"BS_CORPORATE"}</definedName>
    <definedName name="wrn.03_Corporate._1" hidden="1">{#N/A,#N/A,FALSE,"BS_CORPORATE"}</definedName>
    <definedName name="wrn.03_Corporate._2" localSheetId="19" hidden="1">{#N/A,#N/A,FALSE,"BS_CORPORATE"}</definedName>
    <definedName name="wrn.03_Corporate._2" hidden="1">{#N/A,#N/A,FALSE,"BS_CORPORATE"}</definedName>
    <definedName name="wrn.03_Corporate._3" localSheetId="19" hidden="1">{#N/A,#N/A,FALSE,"BS_CORPORATE"}</definedName>
    <definedName name="wrn.03_Corporate._3" hidden="1">{#N/A,#N/A,FALSE,"BS_CORPORATE"}</definedName>
    <definedName name="wrn.03_Corporate._4" localSheetId="19" hidden="1">{#N/A,#N/A,FALSE,"BS_CORPORATE"}</definedName>
    <definedName name="wrn.03_Corporate._4" hidden="1">{#N/A,#N/A,FALSE,"BS_CORPORATE"}</definedName>
    <definedName name="wrn.03_Corporate._5" localSheetId="19" hidden="1">{#N/A,#N/A,FALSE,"BS_CORPORATE"}</definedName>
    <definedName name="wrn.03_Corporate._5" hidden="1">{#N/A,#N/A,FALSE,"BS_CORPORATE"}</definedName>
    <definedName name="wrn.03_NSS."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Inventory";#N/A,#N/A,FALSE,"FWT Inventory";#N/A,#N/A,FALSE,"CIG Inventory";#N/A,#N/A,FALSE,"Capital Expenditures";#N/A,#N/A,FALSE,"FM CIG";#N/A,#N/A,FALSE,"NSAD ASP CIG";#N/A,#N/A,FALSE,"FM iDEN";#N/A,#N/A,FALSE,"NSAD IDEN";#N/A,#N/A,FALSE,"IDEN Mrg Analysis";#N/A,#N/A,FALSE,"R&amp;D  Report";#N/A,#N/A,FALSE,"Mrg A. iDEN"}</definedName>
    <definedName name="wrn.03_NSS."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Inventory";#N/A,#N/A,FALSE,"FWT Inventory";#N/A,#N/A,FALSE,"CIG Inventory";#N/A,#N/A,FALSE,"Capital Expenditures";#N/A,#N/A,FALSE,"FM CIG";#N/A,#N/A,FALSE,"NSAD ASP CIG";#N/A,#N/A,FALSE,"FM iDEN";#N/A,#N/A,FALSE,"NSAD IDEN";#N/A,#N/A,FALSE,"IDEN Mrg Analysis";#N/A,#N/A,FALSE,"R&amp;D  Report";#N/A,#N/A,FALSE,"Mrg A. iDEN"}</definedName>
    <definedName name="wrn.03_NSS._1"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Inventory";#N/A,#N/A,FALSE,"FWT Inventory";#N/A,#N/A,FALSE,"CIG Inventory";#N/A,#N/A,FALSE,"Capital Expenditures";#N/A,#N/A,FALSE,"FM CIG";#N/A,#N/A,FALSE,"NSAD ASP CIG";#N/A,#N/A,FALSE,"FM iDEN";#N/A,#N/A,FALSE,"NSAD IDEN";#N/A,#N/A,FALSE,"IDEN Mrg Analysis";#N/A,#N/A,FALSE,"R&amp;D  Report";#N/A,#N/A,FALSE,"Mrg A. iDEN"}</definedName>
    <definedName name="wrn.03_NSS._1"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Inventory";#N/A,#N/A,FALSE,"FWT Inventory";#N/A,#N/A,FALSE,"CIG Inventory";#N/A,#N/A,FALSE,"Capital Expenditures";#N/A,#N/A,FALSE,"FM CIG";#N/A,#N/A,FALSE,"NSAD ASP CIG";#N/A,#N/A,FALSE,"FM iDEN";#N/A,#N/A,FALSE,"NSAD IDEN";#N/A,#N/A,FALSE,"IDEN Mrg Analysis";#N/A,#N/A,FALSE,"R&amp;D  Report";#N/A,#N/A,FALSE,"Mrg A. iDEN"}</definedName>
    <definedName name="wrn.03_NSS._2"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Inventory";#N/A,#N/A,FALSE,"FWT Inventory";#N/A,#N/A,FALSE,"CIG Inventory";#N/A,#N/A,FALSE,"Capital Expenditures";#N/A,#N/A,FALSE,"FM CIG";#N/A,#N/A,FALSE,"NSAD ASP CIG";#N/A,#N/A,FALSE,"FM iDEN";#N/A,#N/A,FALSE,"NSAD IDEN";#N/A,#N/A,FALSE,"IDEN Mrg Analysis";#N/A,#N/A,FALSE,"R&amp;D  Report";#N/A,#N/A,FALSE,"Mrg A. iDEN"}</definedName>
    <definedName name="wrn.03_NSS._2"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Inventory";#N/A,#N/A,FALSE,"FWT Inventory";#N/A,#N/A,FALSE,"CIG Inventory";#N/A,#N/A,FALSE,"Capital Expenditures";#N/A,#N/A,FALSE,"FM CIG";#N/A,#N/A,FALSE,"NSAD ASP CIG";#N/A,#N/A,FALSE,"FM iDEN";#N/A,#N/A,FALSE,"NSAD IDEN";#N/A,#N/A,FALSE,"IDEN Mrg Analysis";#N/A,#N/A,FALSE,"R&amp;D  Report";#N/A,#N/A,FALSE,"Mrg A. iDEN"}</definedName>
    <definedName name="wrn.03_NSS._3"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Inventory";#N/A,#N/A,FALSE,"FWT Inventory";#N/A,#N/A,FALSE,"CIG Inventory";#N/A,#N/A,FALSE,"Capital Expenditures";#N/A,#N/A,FALSE,"FM CIG";#N/A,#N/A,FALSE,"NSAD ASP CIG";#N/A,#N/A,FALSE,"FM iDEN";#N/A,#N/A,FALSE,"NSAD IDEN";#N/A,#N/A,FALSE,"IDEN Mrg Analysis";#N/A,#N/A,FALSE,"R&amp;D  Report";#N/A,#N/A,FALSE,"Mrg A. iDEN"}</definedName>
    <definedName name="wrn.03_NSS._3"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Inventory";#N/A,#N/A,FALSE,"FWT Inventory";#N/A,#N/A,FALSE,"CIG Inventory";#N/A,#N/A,FALSE,"Capital Expenditures";#N/A,#N/A,FALSE,"FM CIG";#N/A,#N/A,FALSE,"NSAD ASP CIG";#N/A,#N/A,FALSE,"FM iDEN";#N/A,#N/A,FALSE,"NSAD IDEN";#N/A,#N/A,FALSE,"IDEN Mrg Analysis";#N/A,#N/A,FALSE,"R&amp;D  Report";#N/A,#N/A,FALSE,"Mrg A. iDEN"}</definedName>
    <definedName name="wrn.03_NSS._4"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Inventory";#N/A,#N/A,FALSE,"FWT Inventory";#N/A,#N/A,FALSE,"CIG Inventory";#N/A,#N/A,FALSE,"Capital Expenditures";#N/A,#N/A,FALSE,"FM CIG";#N/A,#N/A,FALSE,"NSAD ASP CIG";#N/A,#N/A,FALSE,"FM iDEN";#N/A,#N/A,FALSE,"NSAD IDEN";#N/A,#N/A,FALSE,"IDEN Mrg Analysis";#N/A,#N/A,FALSE,"R&amp;D  Report";#N/A,#N/A,FALSE,"Mrg A. iDEN"}</definedName>
    <definedName name="wrn.03_NSS._4"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Inventory";#N/A,#N/A,FALSE,"FWT Inventory";#N/A,#N/A,FALSE,"CIG Inventory";#N/A,#N/A,FALSE,"Capital Expenditures";#N/A,#N/A,FALSE,"FM CIG";#N/A,#N/A,FALSE,"NSAD ASP CIG";#N/A,#N/A,FALSE,"FM iDEN";#N/A,#N/A,FALSE,"NSAD IDEN";#N/A,#N/A,FALSE,"IDEN Mrg Analysis";#N/A,#N/A,FALSE,"R&amp;D  Report";#N/A,#N/A,FALSE,"Mrg A. iDEN"}</definedName>
    <definedName name="wrn.03_NSS._5"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Inventory";#N/A,#N/A,FALSE,"FWT Inventory";#N/A,#N/A,FALSE,"CIG Inventory";#N/A,#N/A,FALSE,"Capital Expenditures";#N/A,#N/A,FALSE,"FM CIG";#N/A,#N/A,FALSE,"NSAD ASP CIG";#N/A,#N/A,FALSE,"FM iDEN";#N/A,#N/A,FALSE,"NSAD IDEN";#N/A,#N/A,FALSE,"IDEN Mrg Analysis";#N/A,#N/A,FALSE,"R&amp;D  Report";#N/A,#N/A,FALSE,"Mrg A. iDEN"}</definedName>
    <definedName name="wrn.03_NSS._5"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Inventory";#N/A,#N/A,FALSE,"FWT Inventory";#N/A,#N/A,FALSE,"CIG Inventory";#N/A,#N/A,FALSE,"Capital Expenditures";#N/A,#N/A,FALSE,"FM CIG";#N/A,#N/A,FALSE,"NSAD ASP CIG";#N/A,#N/A,FALSE,"FM iDEN";#N/A,#N/A,FALSE,"NSAD IDEN";#N/A,#N/A,FALSE,"IDEN Mrg Analysis";#N/A,#N/A,FALSE,"R&amp;D  Report";#N/A,#N/A,FALSE,"Mrg A. iDEN"}</definedName>
    <definedName name="wrn.04_ESG." localSheetId="19" hidden="1">{#N/A,#N/A,FALSE,"BS_ESG ";#N/A,#N/A,FALSE,"P&amp;L_ESG"}</definedName>
    <definedName name="wrn.04_ESG." hidden="1">{#N/A,#N/A,FALSE,"BS_ESG ";#N/A,#N/A,FALSE,"P&amp;L_ESG"}</definedName>
    <definedName name="wrn.04_ESG._1" localSheetId="19" hidden="1">{#N/A,#N/A,FALSE,"BS_ESG ";#N/A,#N/A,FALSE,"P&amp;L_ESG"}</definedName>
    <definedName name="wrn.04_ESG._1" hidden="1">{#N/A,#N/A,FALSE,"BS_ESG ";#N/A,#N/A,FALSE,"P&amp;L_ESG"}</definedName>
    <definedName name="wrn.04_ESG._2" localSheetId="19" hidden="1">{#N/A,#N/A,FALSE,"BS_ESG ";#N/A,#N/A,FALSE,"P&amp;L_ESG"}</definedName>
    <definedName name="wrn.04_ESG._2" hidden="1">{#N/A,#N/A,FALSE,"BS_ESG ";#N/A,#N/A,FALSE,"P&amp;L_ESG"}</definedName>
    <definedName name="wrn.04_ESG._3" localSheetId="19" hidden="1">{#N/A,#N/A,FALSE,"BS_ESG ";#N/A,#N/A,FALSE,"P&amp;L_ESG"}</definedName>
    <definedName name="wrn.04_ESG._3" hidden="1">{#N/A,#N/A,FALSE,"BS_ESG ";#N/A,#N/A,FALSE,"P&amp;L_ESG"}</definedName>
    <definedName name="wrn.04_ESG._4" localSheetId="19" hidden="1">{#N/A,#N/A,FALSE,"BS_ESG ";#N/A,#N/A,FALSE,"P&amp;L_ESG"}</definedName>
    <definedName name="wrn.04_ESG._4" hidden="1">{#N/A,#N/A,FALSE,"BS_ESG ";#N/A,#N/A,FALSE,"P&amp;L_ESG"}</definedName>
    <definedName name="wrn.04_ESG._5" localSheetId="19" hidden="1">{#N/A,#N/A,FALSE,"BS_ESG ";#N/A,#N/A,FALSE,"P&amp;L_ESG"}</definedName>
    <definedName name="wrn.04_ESG._5" hidden="1">{#N/A,#N/A,FALSE,"BS_ESG ";#N/A,#N/A,FALSE,"P&amp;L_ESG"}</definedName>
    <definedName name="wrn.05_SPS." localSheetId="19" hidden="1">{#N/A,#N/A,FALSE,"Balance SPS";#N/A,#N/A,FALSE,"P&amp;L_SPS"}</definedName>
    <definedName name="wrn.05_SPS." hidden="1">{#N/A,#N/A,FALSE,"Balance SPS";#N/A,#N/A,FALSE,"P&amp;L_SPS"}</definedName>
    <definedName name="wrn.05_SPS._1" localSheetId="19" hidden="1">{#N/A,#N/A,FALSE,"Balance SPS";#N/A,#N/A,FALSE,"P&amp;L_SPS"}</definedName>
    <definedName name="wrn.05_SPS._1" hidden="1">{#N/A,#N/A,FALSE,"Balance SPS";#N/A,#N/A,FALSE,"P&amp;L_SPS"}</definedName>
    <definedName name="wrn.05_SPS._2" localSheetId="19" hidden="1">{#N/A,#N/A,FALSE,"Balance SPS";#N/A,#N/A,FALSE,"P&amp;L_SPS"}</definedName>
    <definedName name="wrn.05_SPS._2" hidden="1">{#N/A,#N/A,FALSE,"Balance SPS";#N/A,#N/A,FALSE,"P&amp;L_SPS"}</definedName>
    <definedName name="wrn.05_SPS._3" localSheetId="19" hidden="1">{#N/A,#N/A,FALSE,"Balance SPS";#N/A,#N/A,FALSE,"P&amp;L_SPS"}</definedName>
    <definedName name="wrn.05_SPS._3" hidden="1">{#N/A,#N/A,FALSE,"Balance SPS";#N/A,#N/A,FALSE,"P&amp;L_SPS"}</definedName>
    <definedName name="wrn.05_SPS._4" localSheetId="19" hidden="1">{#N/A,#N/A,FALSE,"Balance SPS";#N/A,#N/A,FALSE,"P&amp;L_SPS"}</definedName>
    <definedName name="wrn.05_SPS._4" hidden="1">{#N/A,#N/A,FALSE,"Balance SPS";#N/A,#N/A,FALSE,"P&amp;L_SPS"}</definedName>
    <definedName name="wrn.05_SPS._5" localSheetId="19" hidden="1">{#N/A,#N/A,FALSE,"Balance SPS";#N/A,#N/A,FALSE,"P&amp;L_SPS"}</definedName>
    <definedName name="wrn.05_SPS._5" hidden="1">{#N/A,#N/A,FALSE,"Balance SPS";#N/A,#N/A,FALSE,"P&amp;L_SPS"}</definedName>
    <definedName name="wrn.1_Complete._.Package._.less._.Backup." localSheetId="19" hidden="1">{#N/A,#N/A,FALSE,"Cover";#N/A,#N/A,FALSE,"General Assumptions";#N/A,#N/A,FALSE,"Comments CCS";#N/A,#N/A,FALSE,"Comments CIG";#N/A,#N/A,FALSE,"Comments IDEN";#N/A,#N/A,FALSE,"BS CSS";#N/A,#N/A,FALSE,"BS CIG";#N/A,#N/A,FALSE,"BS IDEN";#N/A,#N/A,FALSE,"BS TOTAL";#N/A,#N/A,FALSE,"P&amp;L CSS";#N/A,#N/A,FALSE,"P&amp;L CIG";#N/A,#N/A,FALSE,"P&amp;L IDEN";#N/A,#N/A,FALSE,"P&amp;L TOTAL";#N/A,#N/A,FALSE,"Cash Flow CSS";#N/A,#N/A,FALSE,"Cash Flow CIG";#N/A,#N/A,FALSE,"Cash Flow IDEN";#N/A,#N/A,FALSE,"Cash Flow Total";#N/A,#N/A,FALSE,"MBR CSS";#N/A,#N/A,FALSE,"MBR CIG";#N/A,#N/A,FALSE,"MBR IDEN";#N/A,#N/A,FALSE,"MBR JAG PLANT";#N/A,#N/A,FALSE,"Headcount - CSS";#N/A,#N/A,FALSE,"Headcount - CIG";#N/A,#N/A,FALSE,"Headcount - IDEN";#N/A,#N/A,FALSE,"Headcount JAG PLANT";#N/A,#N/A,FALSE,"CSS MFG";#N/A,#N/A,FALSE,"CSS Distr ";#N/A,#N/A,FALSE,"CIG MFG";#N/A,#N/A,FALSE,"IDEN MFG";#N/A,#N/A,FALSE,"CSS Inventory";#N/A,#N/A,FALSE,"CIG Inventory";#N/A,#N/A,FALSE,"IDEN Inventory";#N/A,#N/A,FALSE,"Capital CSS";#N/A,#N/A,FALSE,"Capital CIG";#N/A,#N/A,FALSE,"Capital iDEN";#N/A,#N/A,FALSE,"BACK UP CORPORATE"}</definedName>
    <definedName name="wrn.1_Complete._.Package._.less._.Backup." hidden="1">{#N/A,#N/A,FALSE,"Cover";#N/A,#N/A,FALSE,"General Assumptions";#N/A,#N/A,FALSE,"Comments CCS";#N/A,#N/A,FALSE,"Comments CIG";#N/A,#N/A,FALSE,"Comments IDEN";#N/A,#N/A,FALSE,"BS CSS";#N/A,#N/A,FALSE,"BS CIG";#N/A,#N/A,FALSE,"BS IDEN";#N/A,#N/A,FALSE,"BS TOTAL";#N/A,#N/A,FALSE,"P&amp;L CSS";#N/A,#N/A,FALSE,"P&amp;L CIG";#N/A,#N/A,FALSE,"P&amp;L IDEN";#N/A,#N/A,FALSE,"P&amp;L TOTAL";#N/A,#N/A,FALSE,"Cash Flow CSS";#N/A,#N/A,FALSE,"Cash Flow CIG";#N/A,#N/A,FALSE,"Cash Flow IDEN";#N/A,#N/A,FALSE,"Cash Flow Total";#N/A,#N/A,FALSE,"MBR CSS";#N/A,#N/A,FALSE,"MBR CIG";#N/A,#N/A,FALSE,"MBR IDEN";#N/A,#N/A,FALSE,"MBR JAG PLANT";#N/A,#N/A,FALSE,"Headcount - CSS";#N/A,#N/A,FALSE,"Headcount - CIG";#N/A,#N/A,FALSE,"Headcount - IDEN";#N/A,#N/A,FALSE,"Headcount JAG PLANT";#N/A,#N/A,FALSE,"CSS MFG";#N/A,#N/A,FALSE,"CSS Distr ";#N/A,#N/A,FALSE,"CIG MFG";#N/A,#N/A,FALSE,"IDEN MFG";#N/A,#N/A,FALSE,"CSS Inventory";#N/A,#N/A,FALSE,"CIG Inventory";#N/A,#N/A,FALSE,"IDEN Inventory";#N/A,#N/A,FALSE,"Capital CSS";#N/A,#N/A,FALSE,"Capital CIG";#N/A,#N/A,FALSE,"Capital iDEN";#N/A,#N/A,FALSE,"BACK UP CORPORATE"}</definedName>
    <definedName name="wrn.1995._.Federal._.Tax._.Installments." localSheetId="19" hidden="1">{#N/A,#N/A,TRUE,"TAX CALC";#N/A,#N/A,TRUE,"TI SUMMARY";#N/A,#N/A,TRUE,"AMT";#N/A,#N/A,TRUE,"ETR REVIEW"}</definedName>
    <definedName name="wrn.1995._.Federal._.Tax._.Installments." hidden="1">{#N/A,#N/A,TRUE,"TAX CALC";#N/A,#N/A,TRUE,"TI SUMMARY";#N/A,#N/A,TRUE,"AMT";#N/A,#N/A,TRUE,"ETR REVIEW"}</definedName>
    <definedName name="wrn.2_PCS." localSheetId="19" hidden="1">{#N/A,#N/A,FALSE,"Cover";#N/A,#N/A,FALSE,"General Assumptions";#N/A,#N/A,FALSE,"Comments CCS";#N/A,#N/A,FALSE,"BS CSS";#N/A,#N/A,FALSE,"P&amp;L CSS";#N/A,#N/A,FALSE,"Cash Flow CSS";#N/A,#N/A,FALSE,"MBR CSS";#N/A,#N/A,FALSE,"Headcount - CSS";#N/A,#N/A,FALSE,"CSS MFG";#N/A,#N/A,FALSE,"CSS Distr ";#N/A,#N/A,FALSE,"CSS Inventory";#N/A,#N/A,FALSE,"Capital CSS"}</definedName>
    <definedName name="wrn.2_PCS." hidden="1">{#N/A,#N/A,FALSE,"Cover";#N/A,#N/A,FALSE,"General Assumptions";#N/A,#N/A,FALSE,"Comments CCS";#N/A,#N/A,FALSE,"BS CSS";#N/A,#N/A,FALSE,"P&amp;L CSS";#N/A,#N/A,FALSE,"Cash Flow CSS";#N/A,#N/A,FALSE,"MBR CSS";#N/A,#N/A,FALSE,"Headcount - CSS";#N/A,#N/A,FALSE,"CSS MFG";#N/A,#N/A,FALSE,"CSS Distr ";#N/A,#N/A,FALSE,"CSS Inventory";#N/A,#N/A,FALSE,"Capital CSS"}</definedName>
    <definedName name="wrn.2_PCS._1" localSheetId="19" hidden="1">{#N/A,#N/A,FALSE,"Cover";#N/A,#N/A,FALSE,"General Assumptions";#N/A,#N/A,FALSE,"Comments CCS";#N/A,#N/A,FALSE,"BS CSS";#N/A,#N/A,FALSE,"P&amp;L CSS";#N/A,#N/A,FALSE,"Cash Flow CSS";#N/A,#N/A,FALSE,"MBR CSS";#N/A,#N/A,FALSE,"Headcount - CSS";#N/A,#N/A,FALSE,"CSS MFG";#N/A,#N/A,FALSE,"CSS Distr ";#N/A,#N/A,FALSE,"CSS Inventory";#N/A,#N/A,FALSE,"Capital CSS"}</definedName>
    <definedName name="wrn.2_PCS._1" hidden="1">{#N/A,#N/A,FALSE,"Cover";#N/A,#N/A,FALSE,"General Assumptions";#N/A,#N/A,FALSE,"Comments CCS";#N/A,#N/A,FALSE,"BS CSS";#N/A,#N/A,FALSE,"P&amp;L CSS";#N/A,#N/A,FALSE,"Cash Flow CSS";#N/A,#N/A,FALSE,"MBR CSS";#N/A,#N/A,FALSE,"Headcount - CSS";#N/A,#N/A,FALSE,"CSS MFG";#N/A,#N/A,FALSE,"CSS Distr ";#N/A,#N/A,FALSE,"CSS Inventory";#N/A,#N/A,FALSE,"Capital CSS"}</definedName>
    <definedName name="wrn.2_PCS._2" localSheetId="19" hidden="1">{#N/A,#N/A,FALSE,"Cover";#N/A,#N/A,FALSE,"General Assumptions";#N/A,#N/A,FALSE,"Comments CCS";#N/A,#N/A,FALSE,"BS CSS";#N/A,#N/A,FALSE,"P&amp;L CSS";#N/A,#N/A,FALSE,"Cash Flow CSS";#N/A,#N/A,FALSE,"MBR CSS";#N/A,#N/A,FALSE,"Headcount - CSS";#N/A,#N/A,FALSE,"CSS MFG";#N/A,#N/A,FALSE,"CSS Distr ";#N/A,#N/A,FALSE,"CSS Inventory";#N/A,#N/A,FALSE,"Capital CSS"}</definedName>
    <definedName name="wrn.2_PCS._2" hidden="1">{#N/A,#N/A,FALSE,"Cover";#N/A,#N/A,FALSE,"General Assumptions";#N/A,#N/A,FALSE,"Comments CCS";#N/A,#N/A,FALSE,"BS CSS";#N/A,#N/A,FALSE,"P&amp;L CSS";#N/A,#N/A,FALSE,"Cash Flow CSS";#N/A,#N/A,FALSE,"MBR CSS";#N/A,#N/A,FALSE,"Headcount - CSS";#N/A,#N/A,FALSE,"CSS MFG";#N/A,#N/A,FALSE,"CSS Distr ";#N/A,#N/A,FALSE,"CSS Inventory";#N/A,#N/A,FALSE,"Capital CSS"}</definedName>
    <definedName name="wrn.2_PCS._3" localSheetId="19" hidden="1">{#N/A,#N/A,FALSE,"Cover";#N/A,#N/A,FALSE,"General Assumptions";#N/A,#N/A,FALSE,"Comments CCS";#N/A,#N/A,FALSE,"BS CSS";#N/A,#N/A,FALSE,"P&amp;L CSS";#N/A,#N/A,FALSE,"Cash Flow CSS";#N/A,#N/A,FALSE,"MBR CSS";#N/A,#N/A,FALSE,"Headcount - CSS";#N/A,#N/A,FALSE,"CSS MFG";#N/A,#N/A,FALSE,"CSS Distr ";#N/A,#N/A,FALSE,"CSS Inventory";#N/A,#N/A,FALSE,"Capital CSS"}</definedName>
    <definedName name="wrn.2_PCS._3" hidden="1">{#N/A,#N/A,FALSE,"Cover";#N/A,#N/A,FALSE,"General Assumptions";#N/A,#N/A,FALSE,"Comments CCS";#N/A,#N/A,FALSE,"BS CSS";#N/A,#N/A,FALSE,"P&amp;L CSS";#N/A,#N/A,FALSE,"Cash Flow CSS";#N/A,#N/A,FALSE,"MBR CSS";#N/A,#N/A,FALSE,"Headcount - CSS";#N/A,#N/A,FALSE,"CSS MFG";#N/A,#N/A,FALSE,"CSS Distr ";#N/A,#N/A,FALSE,"CSS Inventory";#N/A,#N/A,FALSE,"Capital CSS"}</definedName>
    <definedName name="wrn.2_PCS._4" localSheetId="19" hidden="1">{#N/A,#N/A,FALSE,"Cover";#N/A,#N/A,FALSE,"General Assumptions";#N/A,#N/A,FALSE,"Comments CCS";#N/A,#N/A,FALSE,"BS CSS";#N/A,#N/A,FALSE,"P&amp;L CSS";#N/A,#N/A,FALSE,"Cash Flow CSS";#N/A,#N/A,FALSE,"MBR CSS";#N/A,#N/A,FALSE,"Headcount - CSS";#N/A,#N/A,FALSE,"CSS MFG";#N/A,#N/A,FALSE,"CSS Distr ";#N/A,#N/A,FALSE,"CSS Inventory";#N/A,#N/A,FALSE,"Capital CSS"}</definedName>
    <definedName name="wrn.2_PCS._4" hidden="1">{#N/A,#N/A,FALSE,"Cover";#N/A,#N/A,FALSE,"General Assumptions";#N/A,#N/A,FALSE,"Comments CCS";#N/A,#N/A,FALSE,"BS CSS";#N/A,#N/A,FALSE,"P&amp;L CSS";#N/A,#N/A,FALSE,"Cash Flow CSS";#N/A,#N/A,FALSE,"MBR CSS";#N/A,#N/A,FALSE,"Headcount - CSS";#N/A,#N/A,FALSE,"CSS MFG";#N/A,#N/A,FALSE,"CSS Distr ";#N/A,#N/A,FALSE,"CSS Inventory";#N/A,#N/A,FALSE,"Capital CSS"}</definedName>
    <definedName name="wrn.2_PCS._5" localSheetId="19" hidden="1">{#N/A,#N/A,FALSE,"Cover";#N/A,#N/A,FALSE,"General Assumptions";#N/A,#N/A,FALSE,"Comments CCS";#N/A,#N/A,FALSE,"BS CSS";#N/A,#N/A,FALSE,"P&amp;L CSS";#N/A,#N/A,FALSE,"Cash Flow CSS";#N/A,#N/A,FALSE,"MBR CSS";#N/A,#N/A,FALSE,"Headcount - CSS";#N/A,#N/A,FALSE,"CSS MFG";#N/A,#N/A,FALSE,"CSS Distr ";#N/A,#N/A,FALSE,"CSS Inventory";#N/A,#N/A,FALSE,"Capital CSS"}</definedName>
    <definedName name="wrn.2_PCS._5" hidden="1">{#N/A,#N/A,FALSE,"Cover";#N/A,#N/A,FALSE,"General Assumptions";#N/A,#N/A,FALSE,"Comments CCS";#N/A,#N/A,FALSE,"BS CSS";#N/A,#N/A,FALSE,"P&amp;L CSS";#N/A,#N/A,FALSE,"Cash Flow CSS";#N/A,#N/A,FALSE,"MBR CSS";#N/A,#N/A,FALSE,"Headcount - CSS";#N/A,#N/A,FALSE,"CSS MFG";#N/A,#N/A,FALSE,"CSS Distr ";#N/A,#N/A,FALSE,"CSS Inventory";#N/A,#N/A,FALSE,"Capital CSS"}</definedName>
    <definedName name="wrn.3_CIG." localSheetId="19" hidden="1">{#N/A,#N/A,FALSE,"Cover";#N/A,#N/A,FALSE,"General Assumptions";#N/A,#N/A,FALSE,"Comments CIG";#N/A,#N/A,FALSE,"BS CIG";#N/A,#N/A,FALSE,"P&amp;L CIG";#N/A,#N/A,FALSE,"Cash Flow CIG";#N/A,#N/A,FALSE,"MBR CIG";#N/A,#N/A,FALSE,"Headcount - CIG";#N/A,#N/A,FALSE,"CIG MFG";#N/A,#N/A,FALSE,"CIG Inventory";#N/A,#N/A,FALSE,"Capital CIG"}</definedName>
    <definedName name="wrn.3_CIG." hidden="1">{#N/A,#N/A,FALSE,"Cover";#N/A,#N/A,FALSE,"General Assumptions";#N/A,#N/A,FALSE,"Comments CIG";#N/A,#N/A,FALSE,"BS CIG";#N/A,#N/A,FALSE,"P&amp;L CIG";#N/A,#N/A,FALSE,"Cash Flow CIG";#N/A,#N/A,FALSE,"MBR CIG";#N/A,#N/A,FALSE,"Headcount - CIG";#N/A,#N/A,FALSE,"CIG MFG";#N/A,#N/A,FALSE,"CIG Inventory";#N/A,#N/A,FALSE,"Capital CIG"}</definedName>
    <definedName name="wrn.3_CIG._1" localSheetId="19" hidden="1">{#N/A,#N/A,FALSE,"Cover";#N/A,#N/A,FALSE,"General Assumptions";#N/A,#N/A,FALSE,"Comments CIG";#N/A,#N/A,FALSE,"BS CIG";#N/A,#N/A,FALSE,"P&amp;L CIG";#N/A,#N/A,FALSE,"Cash Flow CIG";#N/A,#N/A,FALSE,"MBR CIG";#N/A,#N/A,FALSE,"Headcount - CIG";#N/A,#N/A,FALSE,"CIG MFG";#N/A,#N/A,FALSE,"CIG Inventory";#N/A,#N/A,FALSE,"Capital CIG"}</definedName>
    <definedName name="wrn.3_CIG._1" hidden="1">{#N/A,#N/A,FALSE,"Cover";#N/A,#N/A,FALSE,"General Assumptions";#N/A,#N/A,FALSE,"Comments CIG";#N/A,#N/A,FALSE,"BS CIG";#N/A,#N/A,FALSE,"P&amp;L CIG";#N/A,#N/A,FALSE,"Cash Flow CIG";#N/A,#N/A,FALSE,"MBR CIG";#N/A,#N/A,FALSE,"Headcount - CIG";#N/A,#N/A,FALSE,"CIG MFG";#N/A,#N/A,FALSE,"CIG Inventory";#N/A,#N/A,FALSE,"Capital CIG"}</definedName>
    <definedName name="wrn.3_CIG._2" localSheetId="19" hidden="1">{#N/A,#N/A,FALSE,"Cover";#N/A,#N/A,FALSE,"General Assumptions";#N/A,#N/A,FALSE,"Comments CIG";#N/A,#N/A,FALSE,"BS CIG";#N/A,#N/A,FALSE,"P&amp;L CIG";#N/A,#N/A,FALSE,"Cash Flow CIG";#N/A,#N/A,FALSE,"MBR CIG";#N/A,#N/A,FALSE,"Headcount - CIG";#N/A,#N/A,FALSE,"CIG MFG";#N/A,#N/A,FALSE,"CIG Inventory";#N/A,#N/A,FALSE,"Capital CIG"}</definedName>
    <definedName name="wrn.3_CIG._2" hidden="1">{#N/A,#N/A,FALSE,"Cover";#N/A,#N/A,FALSE,"General Assumptions";#N/A,#N/A,FALSE,"Comments CIG";#N/A,#N/A,FALSE,"BS CIG";#N/A,#N/A,FALSE,"P&amp;L CIG";#N/A,#N/A,FALSE,"Cash Flow CIG";#N/A,#N/A,FALSE,"MBR CIG";#N/A,#N/A,FALSE,"Headcount - CIG";#N/A,#N/A,FALSE,"CIG MFG";#N/A,#N/A,FALSE,"CIG Inventory";#N/A,#N/A,FALSE,"Capital CIG"}</definedName>
    <definedName name="wrn.3_CIG._3" localSheetId="19" hidden="1">{#N/A,#N/A,FALSE,"Cover";#N/A,#N/A,FALSE,"General Assumptions";#N/A,#N/A,FALSE,"Comments CIG";#N/A,#N/A,FALSE,"BS CIG";#N/A,#N/A,FALSE,"P&amp;L CIG";#N/A,#N/A,FALSE,"Cash Flow CIG";#N/A,#N/A,FALSE,"MBR CIG";#N/A,#N/A,FALSE,"Headcount - CIG";#N/A,#N/A,FALSE,"CIG MFG";#N/A,#N/A,FALSE,"CIG Inventory";#N/A,#N/A,FALSE,"Capital CIG"}</definedName>
    <definedName name="wrn.3_CIG._3" hidden="1">{#N/A,#N/A,FALSE,"Cover";#N/A,#N/A,FALSE,"General Assumptions";#N/A,#N/A,FALSE,"Comments CIG";#N/A,#N/A,FALSE,"BS CIG";#N/A,#N/A,FALSE,"P&amp;L CIG";#N/A,#N/A,FALSE,"Cash Flow CIG";#N/A,#N/A,FALSE,"MBR CIG";#N/A,#N/A,FALSE,"Headcount - CIG";#N/A,#N/A,FALSE,"CIG MFG";#N/A,#N/A,FALSE,"CIG Inventory";#N/A,#N/A,FALSE,"Capital CIG"}</definedName>
    <definedName name="wrn.3_CIG._4" localSheetId="19" hidden="1">{#N/A,#N/A,FALSE,"Cover";#N/A,#N/A,FALSE,"General Assumptions";#N/A,#N/A,FALSE,"Comments CIG";#N/A,#N/A,FALSE,"BS CIG";#N/A,#N/A,FALSE,"P&amp;L CIG";#N/A,#N/A,FALSE,"Cash Flow CIG";#N/A,#N/A,FALSE,"MBR CIG";#N/A,#N/A,FALSE,"Headcount - CIG";#N/A,#N/A,FALSE,"CIG MFG";#N/A,#N/A,FALSE,"CIG Inventory";#N/A,#N/A,FALSE,"Capital CIG"}</definedName>
    <definedName name="wrn.3_CIG._4" hidden="1">{#N/A,#N/A,FALSE,"Cover";#N/A,#N/A,FALSE,"General Assumptions";#N/A,#N/A,FALSE,"Comments CIG";#N/A,#N/A,FALSE,"BS CIG";#N/A,#N/A,FALSE,"P&amp;L CIG";#N/A,#N/A,FALSE,"Cash Flow CIG";#N/A,#N/A,FALSE,"MBR CIG";#N/A,#N/A,FALSE,"Headcount - CIG";#N/A,#N/A,FALSE,"CIG MFG";#N/A,#N/A,FALSE,"CIG Inventory";#N/A,#N/A,FALSE,"Capital CIG"}</definedName>
    <definedName name="wrn.3_CIG._5" localSheetId="19" hidden="1">{#N/A,#N/A,FALSE,"Cover";#N/A,#N/A,FALSE,"General Assumptions";#N/A,#N/A,FALSE,"Comments CIG";#N/A,#N/A,FALSE,"BS CIG";#N/A,#N/A,FALSE,"P&amp;L CIG";#N/A,#N/A,FALSE,"Cash Flow CIG";#N/A,#N/A,FALSE,"MBR CIG";#N/A,#N/A,FALSE,"Headcount - CIG";#N/A,#N/A,FALSE,"CIG MFG";#N/A,#N/A,FALSE,"CIG Inventory";#N/A,#N/A,FALSE,"Capital CIG"}</definedName>
    <definedName name="wrn.3_CIG._5" hidden="1">{#N/A,#N/A,FALSE,"Cover";#N/A,#N/A,FALSE,"General Assumptions";#N/A,#N/A,FALSE,"Comments CIG";#N/A,#N/A,FALSE,"BS CIG";#N/A,#N/A,FALSE,"P&amp;L CIG";#N/A,#N/A,FALSE,"Cash Flow CIG";#N/A,#N/A,FALSE,"MBR CIG";#N/A,#N/A,FALSE,"Headcount - CIG";#N/A,#N/A,FALSE,"CIG MFG";#N/A,#N/A,FALSE,"CIG Inventory";#N/A,#N/A,FALSE,"Capital CIG"}</definedName>
    <definedName name="wrn.4_iDEN." localSheetId="19" hidden="1">{#N/A,#N/A,FALSE,"Cover";#N/A,#N/A,FALSE,"Comments IDEN";#N/A,#N/A,FALSE,"General Assumptions";#N/A,#N/A,FALSE,"Comments IDEN";#N/A,#N/A,FALSE,"BS IDEN";#N/A,#N/A,FALSE,"P&amp;L IDEN";#N/A,#N/A,FALSE,"Cash Flow IDEN";#N/A,#N/A,FALSE,"MBR IDEN";#N/A,#N/A,FALSE,"Headcount - IDEN";#N/A,#N/A,FALSE,"IDEN MFG";#N/A,#N/A,FALSE,"IDEN Inventory";#N/A,#N/A,FALSE,"Capital iDEN"}</definedName>
    <definedName name="wrn.4_iDEN." hidden="1">{#N/A,#N/A,FALSE,"Cover";#N/A,#N/A,FALSE,"Comments IDEN";#N/A,#N/A,FALSE,"General Assumptions";#N/A,#N/A,FALSE,"Comments IDEN";#N/A,#N/A,FALSE,"BS IDEN";#N/A,#N/A,FALSE,"P&amp;L IDEN";#N/A,#N/A,FALSE,"Cash Flow IDEN";#N/A,#N/A,FALSE,"MBR IDEN";#N/A,#N/A,FALSE,"Headcount - IDEN";#N/A,#N/A,FALSE,"IDEN MFG";#N/A,#N/A,FALSE,"IDEN Inventory";#N/A,#N/A,FALSE,"Capital iDEN"}</definedName>
    <definedName name="wrn.4_iDEN._1" localSheetId="19" hidden="1">{#N/A,#N/A,FALSE,"Cover";#N/A,#N/A,FALSE,"Comments IDEN";#N/A,#N/A,FALSE,"General Assumptions";#N/A,#N/A,FALSE,"Comments IDEN";#N/A,#N/A,FALSE,"BS IDEN";#N/A,#N/A,FALSE,"P&amp;L IDEN";#N/A,#N/A,FALSE,"Cash Flow IDEN";#N/A,#N/A,FALSE,"MBR IDEN";#N/A,#N/A,FALSE,"Headcount - IDEN";#N/A,#N/A,FALSE,"IDEN MFG";#N/A,#N/A,FALSE,"IDEN Inventory";#N/A,#N/A,FALSE,"Capital iDEN"}</definedName>
    <definedName name="wrn.4_iDEN._1" hidden="1">{#N/A,#N/A,FALSE,"Cover";#N/A,#N/A,FALSE,"Comments IDEN";#N/A,#N/A,FALSE,"General Assumptions";#N/A,#N/A,FALSE,"Comments IDEN";#N/A,#N/A,FALSE,"BS IDEN";#N/A,#N/A,FALSE,"P&amp;L IDEN";#N/A,#N/A,FALSE,"Cash Flow IDEN";#N/A,#N/A,FALSE,"MBR IDEN";#N/A,#N/A,FALSE,"Headcount - IDEN";#N/A,#N/A,FALSE,"IDEN MFG";#N/A,#N/A,FALSE,"IDEN Inventory";#N/A,#N/A,FALSE,"Capital iDEN"}</definedName>
    <definedName name="wrn.4_iDEN._2" localSheetId="19" hidden="1">{#N/A,#N/A,FALSE,"Cover";#N/A,#N/A,FALSE,"Comments IDEN";#N/A,#N/A,FALSE,"General Assumptions";#N/A,#N/A,FALSE,"Comments IDEN";#N/A,#N/A,FALSE,"BS IDEN";#N/A,#N/A,FALSE,"P&amp;L IDEN";#N/A,#N/A,FALSE,"Cash Flow IDEN";#N/A,#N/A,FALSE,"MBR IDEN";#N/A,#N/A,FALSE,"Headcount - IDEN";#N/A,#N/A,FALSE,"IDEN MFG";#N/A,#N/A,FALSE,"IDEN Inventory";#N/A,#N/A,FALSE,"Capital iDEN"}</definedName>
    <definedName name="wrn.4_iDEN._2" hidden="1">{#N/A,#N/A,FALSE,"Cover";#N/A,#N/A,FALSE,"Comments IDEN";#N/A,#N/A,FALSE,"General Assumptions";#N/A,#N/A,FALSE,"Comments IDEN";#N/A,#N/A,FALSE,"BS IDEN";#N/A,#N/A,FALSE,"P&amp;L IDEN";#N/A,#N/A,FALSE,"Cash Flow IDEN";#N/A,#N/A,FALSE,"MBR IDEN";#N/A,#N/A,FALSE,"Headcount - IDEN";#N/A,#N/A,FALSE,"IDEN MFG";#N/A,#N/A,FALSE,"IDEN Inventory";#N/A,#N/A,FALSE,"Capital iDEN"}</definedName>
    <definedName name="wrn.4_iDEN._3" localSheetId="19" hidden="1">{#N/A,#N/A,FALSE,"Cover";#N/A,#N/A,FALSE,"Comments IDEN";#N/A,#N/A,FALSE,"General Assumptions";#N/A,#N/A,FALSE,"Comments IDEN";#N/A,#N/A,FALSE,"BS IDEN";#N/A,#N/A,FALSE,"P&amp;L IDEN";#N/A,#N/A,FALSE,"Cash Flow IDEN";#N/A,#N/A,FALSE,"MBR IDEN";#N/A,#N/A,FALSE,"Headcount - IDEN";#N/A,#N/A,FALSE,"IDEN MFG";#N/A,#N/A,FALSE,"IDEN Inventory";#N/A,#N/A,FALSE,"Capital iDEN"}</definedName>
    <definedName name="wrn.4_iDEN._3" hidden="1">{#N/A,#N/A,FALSE,"Cover";#N/A,#N/A,FALSE,"Comments IDEN";#N/A,#N/A,FALSE,"General Assumptions";#N/A,#N/A,FALSE,"Comments IDEN";#N/A,#N/A,FALSE,"BS IDEN";#N/A,#N/A,FALSE,"P&amp;L IDEN";#N/A,#N/A,FALSE,"Cash Flow IDEN";#N/A,#N/A,FALSE,"MBR IDEN";#N/A,#N/A,FALSE,"Headcount - IDEN";#N/A,#N/A,FALSE,"IDEN MFG";#N/A,#N/A,FALSE,"IDEN Inventory";#N/A,#N/A,FALSE,"Capital iDEN"}</definedName>
    <definedName name="wrn.4_iDEN._4" localSheetId="19" hidden="1">{#N/A,#N/A,FALSE,"Cover";#N/A,#N/A,FALSE,"Comments IDEN";#N/A,#N/A,FALSE,"General Assumptions";#N/A,#N/A,FALSE,"Comments IDEN";#N/A,#N/A,FALSE,"BS IDEN";#N/A,#N/A,FALSE,"P&amp;L IDEN";#N/A,#N/A,FALSE,"Cash Flow IDEN";#N/A,#N/A,FALSE,"MBR IDEN";#N/A,#N/A,FALSE,"Headcount - IDEN";#N/A,#N/A,FALSE,"IDEN MFG";#N/A,#N/A,FALSE,"IDEN Inventory";#N/A,#N/A,FALSE,"Capital iDEN"}</definedName>
    <definedName name="wrn.4_iDEN._4" hidden="1">{#N/A,#N/A,FALSE,"Cover";#N/A,#N/A,FALSE,"Comments IDEN";#N/A,#N/A,FALSE,"General Assumptions";#N/A,#N/A,FALSE,"Comments IDEN";#N/A,#N/A,FALSE,"BS IDEN";#N/A,#N/A,FALSE,"P&amp;L IDEN";#N/A,#N/A,FALSE,"Cash Flow IDEN";#N/A,#N/A,FALSE,"MBR IDEN";#N/A,#N/A,FALSE,"Headcount - IDEN";#N/A,#N/A,FALSE,"IDEN MFG";#N/A,#N/A,FALSE,"IDEN Inventory";#N/A,#N/A,FALSE,"Capital iDEN"}</definedName>
    <definedName name="wrn.4_iDEN._5" localSheetId="19" hidden="1">{#N/A,#N/A,FALSE,"Cover";#N/A,#N/A,FALSE,"Comments IDEN";#N/A,#N/A,FALSE,"General Assumptions";#N/A,#N/A,FALSE,"Comments IDEN";#N/A,#N/A,FALSE,"BS IDEN";#N/A,#N/A,FALSE,"P&amp;L IDEN";#N/A,#N/A,FALSE,"Cash Flow IDEN";#N/A,#N/A,FALSE,"MBR IDEN";#N/A,#N/A,FALSE,"Headcount - IDEN";#N/A,#N/A,FALSE,"IDEN MFG";#N/A,#N/A,FALSE,"IDEN Inventory";#N/A,#N/A,FALSE,"Capital iDEN"}</definedName>
    <definedName name="wrn.4_iDEN._5" hidden="1">{#N/A,#N/A,FALSE,"Cover";#N/A,#N/A,FALSE,"Comments IDEN";#N/A,#N/A,FALSE,"General Assumptions";#N/A,#N/A,FALSE,"Comments IDEN";#N/A,#N/A,FALSE,"BS IDEN";#N/A,#N/A,FALSE,"P&amp;L IDEN";#N/A,#N/A,FALSE,"Cash Flow IDEN";#N/A,#N/A,FALSE,"MBR IDEN";#N/A,#N/A,FALSE,"Headcount - IDEN";#N/A,#N/A,FALSE,"IDEN MFG";#N/A,#N/A,FALSE,"IDEN Inventory";#N/A,#N/A,FALSE,"Capital iDEN"}</definedName>
    <definedName name="wrn.5_Total._.Back._.Up." localSheetId="19" hidden="1">{#N/A,#N/A,FALSE,"BACK UP CIG";#N/A,#N/A,FALSE,"BACK UP Balance FDM";#N/A,#N/A,FALSE,"BACK UP ASP nsad";#N/A,#N/A,FALSE,"BACK UP CORPORATE"}</definedName>
    <definedName name="wrn.5_Total._.Back._.Up." hidden="1">{#N/A,#N/A,FALSE,"BACK UP CIG";#N/A,#N/A,FALSE,"BACK UP Balance FDM";#N/A,#N/A,FALSE,"BACK UP ASP nsad";#N/A,#N/A,FALSE,"BACK UP CORPORATE"}</definedName>
    <definedName name="wrn.5_Total._.Back._.Up._1" localSheetId="19" hidden="1">{#N/A,#N/A,FALSE,"BACK UP CIG";#N/A,#N/A,FALSE,"BACK UP Balance FDM";#N/A,#N/A,FALSE,"BACK UP ASP nsad";#N/A,#N/A,FALSE,"BACK UP CORPORATE"}</definedName>
    <definedName name="wrn.5_Total._.Back._.Up._1" hidden="1">{#N/A,#N/A,FALSE,"BACK UP CIG";#N/A,#N/A,FALSE,"BACK UP Balance FDM";#N/A,#N/A,FALSE,"BACK UP ASP nsad";#N/A,#N/A,FALSE,"BACK UP CORPORATE"}</definedName>
    <definedName name="wrn.5_Total._.Back._.Up._2" localSheetId="19" hidden="1">{#N/A,#N/A,FALSE,"BACK UP CIG";#N/A,#N/A,FALSE,"BACK UP Balance FDM";#N/A,#N/A,FALSE,"BACK UP ASP nsad";#N/A,#N/A,FALSE,"BACK UP CORPORATE"}</definedName>
    <definedName name="wrn.5_Total._.Back._.Up._2" hidden="1">{#N/A,#N/A,FALSE,"BACK UP CIG";#N/A,#N/A,FALSE,"BACK UP Balance FDM";#N/A,#N/A,FALSE,"BACK UP ASP nsad";#N/A,#N/A,FALSE,"BACK UP CORPORATE"}</definedName>
    <definedName name="wrn.5_Total._.Back._.Up._3" localSheetId="19" hidden="1">{#N/A,#N/A,FALSE,"BACK UP CIG";#N/A,#N/A,FALSE,"BACK UP Balance FDM";#N/A,#N/A,FALSE,"BACK UP ASP nsad";#N/A,#N/A,FALSE,"BACK UP CORPORATE"}</definedName>
    <definedName name="wrn.5_Total._.Back._.Up._3" hidden="1">{#N/A,#N/A,FALSE,"BACK UP CIG";#N/A,#N/A,FALSE,"BACK UP Balance FDM";#N/A,#N/A,FALSE,"BACK UP ASP nsad";#N/A,#N/A,FALSE,"BACK UP CORPORATE"}</definedName>
    <definedName name="wrn.5_Total._.Back._.Up._4" localSheetId="19" hidden="1">{#N/A,#N/A,FALSE,"BACK UP CIG";#N/A,#N/A,FALSE,"BACK UP Balance FDM";#N/A,#N/A,FALSE,"BACK UP ASP nsad";#N/A,#N/A,FALSE,"BACK UP CORPORATE"}</definedName>
    <definedName name="wrn.5_Total._.Back._.Up._4" hidden="1">{#N/A,#N/A,FALSE,"BACK UP CIG";#N/A,#N/A,FALSE,"BACK UP Balance FDM";#N/A,#N/A,FALSE,"BACK UP ASP nsad";#N/A,#N/A,FALSE,"BACK UP CORPORATE"}</definedName>
    <definedName name="wrn.5_Total._.Back._.Up._5" localSheetId="19" hidden="1">{#N/A,#N/A,FALSE,"BACK UP CIG";#N/A,#N/A,FALSE,"BACK UP Balance FDM";#N/A,#N/A,FALSE,"BACK UP ASP nsad";#N/A,#N/A,FALSE,"BACK UP CORPORATE"}</definedName>
    <definedName name="wrn.5_Total._.Back._.Up._5" hidden="1">{#N/A,#N/A,FALSE,"BACK UP CIG";#N/A,#N/A,FALSE,"BACK UP Balance FDM";#N/A,#N/A,FALSE,"BACK UP ASP nsad";#N/A,#N/A,FALSE,"BACK UP CORPORATE"}</definedName>
    <definedName name="wrn.722." localSheetId="19" hidden="1">{#N/A,#N/A,FALSE,"CURRENT"}</definedName>
    <definedName name="wrn.722." localSheetId="13" hidden="1">{#N/A,#N/A,FALSE,"CURRENT"}</definedName>
    <definedName name="wrn.722." hidden="1">{#N/A,#N/A,FALSE,"CURRENT"}</definedName>
    <definedName name="wrn.Accounting._.May." localSheetId="19" hidden="1">{#N/A,#N/A,TRUE,"Sum(2)";#N/A,#N/A,TRUE,"bs";#N/A,#N/A,TRUE,"pnl";#N/A,#N/A,TRUE,"BY DEPT 9605";#N/A,#N/A,TRUE,"BY S/A 9605"}</definedName>
    <definedName name="wrn.Accounting._.May." hidden="1">{#N/A,#N/A,TRUE,"Sum(2)";#N/A,#N/A,TRUE,"bs";#N/A,#N/A,TRUE,"pnl";#N/A,#N/A,TRUE,"BY DEPT 9605";#N/A,#N/A,TRUE,"BY S/A 9605"}</definedName>
    <definedName name="wrn.AGT." localSheetId="19" hidden="1">{"AGT",#N/A,FALSE,"Revenue"}</definedName>
    <definedName name="wrn.AGT." localSheetId="13" hidden="1">{"AGT",#N/A,FALSE,"Revenue"}</definedName>
    <definedName name="wrn.AGT." hidden="1">{"AGT",#N/A,FALSE,"Revenue"}</definedName>
    <definedName name="wrn.all." localSheetId="19" hidden="1">{"Factsheet",#N/A,FALSE,"Fact";"Earnings",#N/A,FALSE,"Earnings";"BalanceSheet",#N/A,FALSE,"BalanceSheet";"Balance Sheet Details",#N/A,FALSE,"BalanceSheet";"ChangeinCash",#N/A,FALSE,"CashFlow";"quarterly",#N/A,FALSE,"Quarters";"UpstrmNormalEngs",#N/A,FALSE,"NormEngUp";"NormalEngs",#N/A,FALSE,"NormalEngs";"NormalGrowth",#N/A,FALSE,"NormalGrowth";"US EP Earnings",#N/A,FALSE,"US E&amp;P";"US EP Price Vol detail",#N/A,FALSE,"US E&amp;P";"Canada EP Earnings",#N/A,FALSE,"Canada E&amp;P";"Canda EP Price Vol Detail",#N/A,FALSE,"Canada E&amp;P";"Europe EP Earnings",#N/A,FALSE,"Eur E&amp;P";"Europe EP Price Vol Detail",#N/A,FALSE,"Eur E&amp;P";"Other EP Earnings",#N/A,FALSE,"Other Foreign E&amp;P";"Other EP Price Vol Detail",#N/A,FALSE,"Other Foreign E&amp;P";"EP Summary",#N/A,FALSE,"E&amp;P Summary";"RnMEarnings",#N/A,FALSE,"R&amp;M ";"RM Operating Stats",#N/A,FALSE,"R&amp;M ";"Chemicals",#N/A,FALSE,"Chemical";"CapEx",#N/A,FALSE,"CAPEX Sum";"ROCE",#N/A,FALSE,"ROCE";"DCF",#N/A,FALSE,"DCFEVA";"Dupont",#N/A,FALSE,"Dupont";"NAV",#N/A,FALSE,"NAV";"QRating",#N/A,FALSE,"Q-Rating";"assumptions",#N/A,FALSE,"Assumptions"}</definedName>
    <definedName name="wrn.all." hidden="1">{"Factsheet",#N/A,FALSE,"Fact";"Earnings",#N/A,FALSE,"Earnings";"BalanceSheet",#N/A,FALSE,"BalanceSheet";"Balance Sheet Details",#N/A,FALSE,"BalanceSheet";"ChangeinCash",#N/A,FALSE,"CashFlow";"quarterly",#N/A,FALSE,"Quarters";"UpstrmNormalEngs",#N/A,FALSE,"NormEngUp";"NormalEngs",#N/A,FALSE,"NormalEngs";"NormalGrowth",#N/A,FALSE,"NormalGrowth";"US EP Earnings",#N/A,FALSE,"US E&amp;P";"US EP Price Vol detail",#N/A,FALSE,"US E&amp;P";"Canada EP Earnings",#N/A,FALSE,"Canada E&amp;P";"Canda EP Price Vol Detail",#N/A,FALSE,"Canada E&amp;P";"Europe EP Earnings",#N/A,FALSE,"Eur E&amp;P";"Europe EP Price Vol Detail",#N/A,FALSE,"Eur E&amp;P";"Other EP Earnings",#N/A,FALSE,"Other Foreign E&amp;P";"Other EP Price Vol Detail",#N/A,FALSE,"Other Foreign E&amp;P";"EP Summary",#N/A,FALSE,"E&amp;P Summary";"RnMEarnings",#N/A,FALSE,"R&amp;M ";"RM Operating Stats",#N/A,FALSE,"R&amp;M ";"Chemicals",#N/A,FALSE,"Chemical";"CapEx",#N/A,FALSE,"CAPEX Sum";"ROCE",#N/A,FALSE,"ROCE";"DCF",#N/A,FALSE,"DCFEVA";"Dupont",#N/A,FALSE,"Dupont";"NAV",#N/A,FALSE,"NAV";"QRating",#N/A,FALSE,"Q-Rating";"assumptions",#N/A,FALSE,"Assumptions"}</definedName>
    <definedName name="wrn.All._.Data." localSheetId="19" hidden="1">{"Fact Sheet",#N/A,FALSE,"Fact";"Earnings_Summary",#N/A,FALSE,"Earnings Model";"Earnings EP Detail",#N/A,FALSE,"Earnings Model";"Earnings RM Detail",#N/A,FALSE,"Earnings Model";"Qtr Earnings Model",#N/A,FALSE,"Quarters";"Balance Sheet",#N/A,FALSE,"Balance";"Balance Sheet Details",#N/A,FALSE,"Balance";"Change in Cash",#N/A,FALSE,"Change in Cash";"Ratios",#N/A,FALSE,"Ratios";"NAV",#N/A,FALSE,"NAV";"ROCE",#N/A,FALSE,"ROCE";"Dupont",#N/A,FALSE,"Dupont";"US EP Earn and Prof Analysis",#N/A,FALSE,"USE&amp;P ";"Can EP Earn and Prof Analysis",#N/A,FALSE,"Can E&amp;P";"Eur EP Earn and Prof Analysis",#N/A,FALSE,"Eur E&amp;P";"ASPAC EP Earn and Prof Analysis",#N/A,FALSE,"Asia-Pac E&amp;P";"NonCon EP Earn Prof Analysis",#N/A,FALSE,"Non-Con E&amp;P";"OG Production Sum",#N/A,FALSE,"E&amp;P Summary";"DCF Analysis",#N/A,FALSE,"DCF";"US EP DCF Valuation",#N/A,FALSE,"USE&amp;P ";"Can EP DCF Valuation",#N/A,FALSE,"Can E&amp;P";"Eur EP DCF Valuation",#N/A,FALSE,"Eur E&amp;P";"ASPAC EP DCF Valuation",#N/A,FALSE,"Asia-Pac E&amp;P";"NonCon EP DCF Valuation",#N/A,FALSE,"Non-Con E&amp;P";"US RM Earnings Summary",#N/A,FALSE,"US R&amp;M";"US RM Realization Data",#N/A,FALSE,"US R&amp;M";"For RM Earnings Detail",#N/A,FALSE,"Foreign R&amp;M";"For RM Real and Vol Detail",#N/A,FALSE,"Foreign R&amp;M";"US Chemical Summary",#N/A,FALSE,"USChem";"Foreign Chemical Summary",#N/A,FALSE,"ForChem";"Assume",#N/A,FALSE,"Assumptions"}</definedName>
    <definedName name="wrn.All._.Data." hidden="1">{"Fact Sheet",#N/A,FALSE,"Fact";"Earnings_Summary",#N/A,FALSE,"Earnings Model";"Earnings EP Detail",#N/A,FALSE,"Earnings Model";"Earnings RM Detail",#N/A,FALSE,"Earnings Model";"Qtr Earnings Model",#N/A,FALSE,"Quarters";"Balance Sheet",#N/A,FALSE,"Balance";"Balance Sheet Details",#N/A,FALSE,"Balance";"Change in Cash",#N/A,FALSE,"Change in Cash";"Ratios",#N/A,FALSE,"Ratios";"NAV",#N/A,FALSE,"NAV";"ROCE",#N/A,FALSE,"ROCE";"Dupont",#N/A,FALSE,"Dupont";"US EP Earn and Prof Analysis",#N/A,FALSE,"USE&amp;P ";"Can EP Earn and Prof Analysis",#N/A,FALSE,"Can E&amp;P";"Eur EP Earn and Prof Analysis",#N/A,FALSE,"Eur E&amp;P";"ASPAC EP Earn and Prof Analysis",#N/A,FALSE,"Asia-Pac E&amp;P";"NonCon EP Earn Prof Analysis",#N/A,FALSE,"Non-Con E&amp;P";"OG Production Sum",#N/A,FALSE,"E&amp;P Summary";"DCF Analysis",#N/A,FALSE,"DCF";"US EP DCF Valuation",#N/A,FALSE,"USE&amp;P ";"Can EP DCF Valuation",#N/A,FALSE,"Can E&amp;P";"Eur EP DCF Valuation",#N/A,FALSE,"Eur E&amp;P";"ASPAC EP DCF Valuation",#N/A,FALSE,"Asia-Pac E&amp;P";"NonCon EP DCF Valuation",#N/A,FALSE,"Non-Con E&amp;P";"US RM Earnings Summary",#N/A,FALSE,"US R&amp;M";"US RM Realization Data",#N/A,FALSE,"US R&amp;M";"For RM Earnings Detail",#N/A,FALSE,"Foreign R&amp;M";"For RM Real and Vol Detail",#N/A,FALSE,"Foreign R&amp;M";"US Chemical Summary",#N/A,FALSE,"USChem";"Foreign Chemical Summary",#N/A,FALSE,"ForChem";"Assume",#N/A,FALSE,"Assumptions"}</definedName>
    <definedName name="wrn.All._.Sheets." localSheetId="19" hidden="1">{#N/A,#N/A,TRUE,"Blank";#N/A,#N/A,TRUE,"Report - Portrait";#N/A,#N/A,TRUE,"Report - Landscape";#N/A,#N/A,TRUE,"FAS87 Results"}</definedName>
    <definedName name="wrn.All._.Sheets." hidden="1">{#N/A,#N/A,TRUE,"Blank";#N/A,#N/A,TRUE,"Report - Portrait";#N/A,#N/A,TRUE,"Report - Landscape";#N/A,#N/A,TRUE,"FAS87 Results"}</definedName>
    <definedName name="wrn.All_Package." localSheetId="19" hidden="1">{#N/A,#N/A,FALSE,"Comments PCS";#N/A,#N/A,FALSE,"Comments CIG";#N/A,#N/A,FALSE,"Comments IDEN";#N/A,#N/A,FALSE,"BS PCS";#N/A,#N/A,FALSE,"BS CIG";#N/A,#N/A,FALSE,"BS IDEN";#N/A,#N/A,FALSE,"BS TOTAL";#N/A,#N/A,FALSE,"P&amp;L PCS";#N/A,#N/A,FALSE,"P&amp;L CIG";#N/A,#N/A,FALSE,"P&amp;L FWT";#N/A,#N/A,FALSE,"P&amp;L IDEN";#N/A,#N/A,FALSE,"P&amp;L TOTAL";#N/A,#N/A,FALSE,"Cash Flow PCS";#N/A,#N/A,FALSE,"Cash Flow CIG";#N/A,#N/A,FALSE,"Cash Flow IDEN";#N/A,#N/A,FALSE,"Cash Flow Total";#N/A,#N/A,FALSE,"MBR PCS";#N/A,#N/A,FALSE,"MBR CIG";#N/A,#N/A,FALSE,"MBR iDEN";#N/A,#N/A,FALSE,"MBR_FWT";#N/A,#N/A,FALSE,"MBR TOTAL";#N/A,#N/A,FALSE,"Headcount PCS";#N/A,#N/A,FALSE,"Headcount CIG";#N/A,#N/A,FALSE,"Headcount iDEN";#N/A,#N/A,FALSE,"Headcount Total";#N/A,#N/A,FALSE,"FAB UN CSG ";#N/A,#N/A,FALSE,"FAB UN PPG";#N/A,#N/A,FALSE,"FAB UN CIG";#N/A,#N/A,FALSE,"FAB UN IDEN";#N/A,#N/A,FALSE,"FAB UN FWT";#N/A,#N/A,FALSE,"CSS MFG";#N/A,#N/A,FALSE,"CSS Distr";#N/A,#N/A,FALSE,"CSG 6-Up Charts";#N/A,#N/A,FALSE,"CIG MFG";#N/A,#N/A,FALSE,"IDEN MFG";#N/A,#N/A,FALSE,"IDEN 6-Up Charts  ";#N/A,#N/A,FALSE,"FWT MFG";#N/A,#N/A,FALSE,"FWT 6-Up Charts ";#N/A,#N/A,FALSE,"PCS Inventory";#N/A,#N/A,FALSE,"CIG Inventory";#N/A,#N/A,FALSE,"IDEN Inventory";#N/A,#N/A,FALSE,"CE JAG Inventory";#N/A,#N/A,FALSE,"Capital Expenditures";#N/A,#N/A,FALSE,"FM CSG";#N/A,#N/A,FALSE,"NSAD ASP CGS";#N/A,#N/A,FALSE,"FM CIG";#N/A,#N/A,FALSE,"NSAD ASP CIG";#N/A,#N/A,FALSE,"FM iDEN";#N/A,#N/A,FALSE,"NSAD IDEN";#N/A,#N/A,FALSE,"PCS Credit";#N/A,#N/A,FALSE,"R&amp;D  Report";#N/A,#N/A,FALSE,"CSG Mrg Analysis";#N/A,#N/A,FALSE,"CIG Mrg Analysis";#N/A,#N/A,FALSE,"IDEN Mrg Analysis"}</definedName>
    <definedName name="wrn.All_Package." hidden="1">{#N/A,#N/A,FALSE,"Comments PCS";#N/A,#N/A,FALSE,"Comments CIG";#N/A,#N/A,FALSE,"Comments IDEN";#N/A,#N/A,FALSE,"BS PCS";#N/A,#N/A,FALSE,"BS CIG";#N/A,#N/A,FALSE,"BS IDEN";#N/A,#N/A,FALSE,"BS TOTAL";#N/A,#N/A,FALSE,"P&amp;L PCS";#N/A,#N/A,FALSE,"P&amp;L CIG";#N/A,#N/A,FALSE,"P&amp;L FWT";#N/A,#N/A,FALSE,"P&amp;L IDEN";#N/A,#N/A,FALSE,"P&amp;L TOTAL";#N/A,#N/A,FALSE,"Cash Flow PCS";#N/A,#N/A,FALSE,"Cash Flow CIG";#N/A,#N/A,FALSE,"Cash Flow IDEN";#N/A,#N/A,FALSE,"Cash Flow Total";#N/A,#N/A,FALSE,"MBR PCS";#N/A,#N/A,FALSE,"MBR CIG";#N/A,#N/A,FALSE,"MBR iDEN";#N/A,#N/A,FALSE,"MBR_FWT";#N/A,#N/A,FALSE,"MBR TOTAL";#N/A,#N/A,FALSE,"Headcount PCS";#N/A,#N/A,FALSE,"Headcount CIG";#N/A,#N/A,FALSE,"Headcount iDEN";#N/A,#N/A,FALSE,"Headcount Total";#N/A,#N/A,FALSE,"FAB UN CSG ";#N/A,#N/A,FALSE,"FAB UN PPG";#N/A,#N/A,FALSE,"FAB UN CIG";#N/A,#N/A,FALSE,"FAB UN IDEN";#N/A,#N/A,FALSE,"FAB UN FWT";#N/A,#N/A,FALSE,"CSS MFG";#N/A,#N/A,FALSE,"CSS Distr";#N/A,#N/A,FALSE,"CSG 6-Up Charts";#N/A,#N/A,FALSE,"CIG MFG";#N/A,#N/A,FALSE,"IDEN MFG";#N/A,#N/A,FALSE,"IDEN 6-Up Charts  ";#N/A,#N/A,FALSE,"FWT MFG";#N/A,#N/A,FALSE,"FWT 6-Up Charts ";#N/A,#N/A,FALSE,"PCS Inventory";#N/A,#N/A,FALSE,"CIG Inventory";#N/A,#N/A,FALSE,"IDEN Inventory";#N/A,#N/A,FALSE,"CE JAG Inventory";#N/A,#N/A,FALSE,"Capital Expenditures";#N/A,#N/A,FALSE,"FM CSG";#N/A,#N/A,FALSE,"NSAD ASP CGS";#N/A,#N/A,FALSE,"FM CIG";#N/A,#N/A,FALSE,"NSAD ASP CIG";#N/A,#N/A,FALSE,"FM iDEN";#N/A,#N/A,FALSE,"NSAD IDEN";#N/A,#N/A,FALSE,"PCS Credit";#N/A,#N/A,FALSE,"R&amp;D  Report";#N/A,#N/A,FALSE,"CSG Mrg Analysis";#N/A,#N/A,FALSE,"CIG Mrg Analysis";#N/A,#N/A,FALSE,"IDEN Mrg Analysis"}</definedName>
    <definedName name="wrn.ancg." localSheetId="19" hidden="1">{"summary",#N/A,FALSE,"summary";"liabsumm",#N/A,FALSE,"liabsumm";"gl",#N/A,FALSE,"gl";"gl2",#N/A,FALSE,"gl2";"exp",#N/A,FALSE,"exp";"ancg_amort",#N/A,FALSE,"ancg_amort";"recon",#N/A,FALSE,"recon"}</definedName>
    <definedName name="wrn.ancg." hidden="1">{"summary",#N/A,FALSE,"summary";"liabsumm",#N/A,FALSE,"liabsumm";"gl",#N/A,FALSE,"gl";"gl2",#N/A,FALSE,"gl2";"exp",#N/A,FALSE,"exp";"ancg_amort",#N/A,FALSE,"ancg_amort";"recon",#N/A,FALSE,"recon"}</definedName>
    <definedName name="wrn.Appendix._.for._.Quote." localSheetId="19" hidden="1">{#N/A,#N/A,FALSE,"Process Flowchart";#N/A,#N/A,FALSE,"Financial Assumptions";#N/A,#N/A,FALSE,"Profit &amp; Loss";#N/A,#N/A,FALSE,"DL Summary ";#N/A,#N/A,FALSE,"DL Worksheet";#N/A,#N/A,FALSE,"Indirect Cell";#N/A,#N/A,FALSE,"Capital";#N/A,#N/A,FALSE,"Tooling";#N/A,#N/A,FALSE,"Factory Committed";#N/A,#N/A,FALSE,"New Products";#N/A,#N/A,FALSE,"Process Validation"}</definedName>
    <definedName name="wrn.Appendix._.for._.Quote." hidden="1">{#N/A,#N/A,FALSE,"Process Flowchart";#N/A,#N/A,FALSE,"Financial Assumptions";#N/A,#N/A,FALSE,"Profit &amp; Loss";#N/A,#N/A,FALSE,"DL Summary ";#N/A,#N/A,FALSE,"DL Worksheet";#N/A,#N/A,FALSE,"Indirect Cell";#N/A,#N/A,FALSE,"Capital";#N/A,#N/A,FALSE,"Tooling";#N/A,#N/A,FALSE,"Factory Committed";#N/A,#N/A,FALSE,"New Products";#N/A,#N/A,FALSE,"Process Validation"}</definedName>
    <definedName name="wrn.AR._.Meeting._.Schedules." localSheetId="19"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wrn.AR._.Meeting._.Schedules." hidden="1">{#N/A,#N/A,FALSE,"Quarterly Analysis";#N/A,#N/A,FALSE,"Sys Perf Issues $";#N/A,#N/A,FALSE,"Holdbacks";#N/A,#N/A,FALSE,"Extended Terms";#N/A,#N/A,FALSE,"Delinquent";#N/A,#N/A,FALSE,"China";#N/A,#N/A,FALSE,"Hong Kong";#N/A,#N/A,FALSE,"Korea";#N/A,#N/A,FALSE,"SE Asia";#N/A,#N/A,FALSE,"Overview";#N/A,#N/A,FALSE,"N.A. Action Plan";#N/A,#N/A,FALSE,"Pmt Terms";#N/A,#N/A,FALSE,"S.A. Action Plan";#N/A,#N/A,FALSE,"Çhina Del. Detail"}</definedName>
    <definedName name="wrn.August._.1._.2003._.Rate._.Change." localSheetId="19"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localSheetId="13"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ckup._.Corporate." localSheetId="19" hidden="1">{#N/A,#N/A,FALSE,"BACK UP CORPORATE"}</definedName>
    <definedName name="wrn.Backup._.Corporate." hidden="1">{#N/A,#N/A,FALSE,"BACK UP CORPORATE"}</definedName>
    <definedName name="wrn.Backup._.Corporate._1" localSheetId="19" hidden="1">{#N/A,#N/A,FALSE,"BACK UP CORPORATE"}</definedName>
    <definedName name="wrn.Backup._.Corporate._1" hidden="1">{#N/A,#N/A,FALSE,"BACK UP CORPORATE"}</definedName>
    <definedName name="wrn.Backup._.Corporate._2" localSheetId="19" hidden="1">{#N/A,#N/A,FALSE,"BACK UP CORPORATE"}</definedName>
    <definedName name="wrn.Backup._.Corporate._2" hidden="1">{#N/A,#N/A,FALSE,"BACK UP CORPORATE"}</definedName>
    <definedName name="wrn.Backup._.Corporate._3" localSheetId="19" hidden="1">{#N/A,#N/A,FALSE,"BACK UP CORPORATE"}</definedName>
    <definedName name="wrn.Backup._.Corporate._3" hidden="1">{#N/A,#N/A,FALSE,"BACK UP CORPORATE"}</definedName>
    <definedName name="wrn.Backup._.Corporate._4" localSheetId="19" hidden="1">{#N/A,#N/A,FALSE,"BACK UP CORPORATE"}</definedName>
    <definedName name="wrn.Backup._.Corporate._4" hidden="1">{#N/A,#N/A,FALSE,"BACK UP CORPORATE"}</definedName>
    <definedName name="wrn.Backup._.Corporate._5" localSheetId="19" hidden="1">{#N/A,#N/A,FALSE,"BACK UP CORPORATE"}</definedName>
    <definedName name="wrn.Backup._.Corporate._5" hidden="1">{#N/A,#N/A,FALSE,"BACK UP CORPORATE"}</definedName>
    <definedName name="wrn.Balance._.Sheet._.with._.details." localSheetId="19" hidden="1">{"Balance Sheet",#N/A,FALSE,"Balance";"Balance Sheet Details",#N/A,FALSE,"Balance"}</definedName>
    <definedName name="wrn.Balance._.Sheet._.with._.details." hidden="1">{"Balance Sheet",#N/A,FALSE,"Balance";"Balance Sheet Details",#N/A,FALSE,"Balance"}</definedName>
    <definedName name="wrn.Basic." localSheetId="19" hidden="1">{#N/A,#N/A,FALSE,"O&amp;M by processes";#N/A,#N/A,FALSE,"Elec Act vs Bud";#N/A,#N/A,FALSE,"G&amp;A";#N/A,#N/A,FALSE,"BGS";#N/A,#N/A,FALSE,"Res Cost"}</definedName>
    <definedName name="wrn.Basic." localSheetId="13" hidden="1">{#N/A,#N/A,FALSE,"O&amp;M by processes";#N/A,#N/A,FALSE,"Elec Act vs Bud";#N/A,#N/A,FALSE,"G&amp;A";#N/A,#N/A,FALSE,"BGS";#N/A,#N/A,FALSE,"Res Cost"}</definedName>
    <definedName name="wrn.Basic." hidden="1">{#N/A,#N/A,FALSE,"O&amp;M by processes";#N/A,#N/A,FALSE,"Elec Act vs Bud";#N/A,#N/A,FALSE,"G&amp;A";#N/A,#N/A,FALSE,"BGS";#N/A,#N/A,FALSE,"Res Cost"}</definedName>
    <definedName name="wrn.Business._.Plan." localSheetId="19" hidden="1">{#N/A,#N/A,TRUE,"97 Sales by Quarter (New Order)";#N/A,#N/A,TRUE,"97 BPlan TOC";#N/A,#N/A,TRUE,"Sales by Month";#N/A,#N/A,TRUE,"94-97 Annual Units/ASP/NSAD";#N/A,#N/A,TRUE,"Total DDN P&amp;L";#N/A,#N/A,TRUE,"Total DDN Trend";#N/A,#N/A,TRUE,"Radio Modems P&amp;L";#N/A,#N/A,TRUE,"Radio Modems Trend";#N/A,#N/A,TRUE,"Eagle Datatac PM100D P&amp;L";#N/A,#N/A,TRUE,"Eagle Datatac PM100D Trend";#N/A,#N/A,TRUE,"Eagle CDPD PM100C P&amp;L";#N/A,#N/A,TRUE,"Eagle CDPD PM100C Trend";#N/A,#N/A,TRUE,"Grackle P&amp;L";#N/A,#N/A,TRUE,"Grackle Trend";#N/A,#N/A,TRUE,"Cost Per Unit";#N/A,#N/A,TRUE,"Appendices"}</definedName>
    <definedName name="wrn.Business._.Plan." hidden="1">{#N/A,#N/A,TRUE,"97 Sales by Quarter (New Order)";#N/A,#N/A,TRUE,"97 BPlan TOC";#N/A,#N/A,TRUE,"Sales by Month";#N/A,#N/A,TRUE,"94-97 Annual Units/ASP/NSAD";#N/A,#N/A,TRUE,"Total DDN P&amp;L";#N/A,#N/A,TRUE,"Total DDN Trend";#N/A,#N/A,TRUE,"Radio Modems P&amp;L";#N/A,#N/A,TRUE,"Radio Modems Trend";#N/A,#N/A,TRUE,"Eagle Datatac PM100D P&amp;L";#N/A,#N/A,TRUE,"Eagle Datatac PM100D Trend";#N/A,#N/A,TRUE,"Eagle CDPD PM100C P&amp;L";#N/A,#N/A,TRUE,"Eagle CDPD PM100C Trend";#N/A,#N/A,TRUE,"Grackle P&amp;L";#N/A,#N/A,TRUE,"Grackle Trend";#N/A,#N/A,TRUE,"Cost Per Unit";#N/A,#N/A,TRUE,"Appendices"}</definedName>
    <definedName name="wrn.BY._.YEAR." localSheetId="19" hidden="1">{#N/A,#N/A,FALSE,"Total";#N/A,#N/A,FALSE,"ASNS";#N/A,#N/A,FALSE,"PNCNS";#N/A,#N/A,FALSE,"DSNS";#N/A,#N/A,FALSE,"TNS"}</definedName>
    <definedName name="wrn.BY._.YEAR." hidden="1">{#N/A,#N/A,FALSE,"Total";#N/A,#N/A,FALSE,"ASNS";#N/A,#N/A,FALSE,"PNCNS";#N/A,#N/A,FALSE,"DSNS";#N/A,#N/A,FALSE,"TNS"}</definedName>
    <definedName name="wrn.calcs." localSheetId="19" hidden="1">{"calcs1",#N/A,FALSE,"Calcs";"calcs2",#N/A,FALSE,"Calcs"}</definedName>
    <definedName name="wrn.calcs." hidden="1">{"calcs1",#N/A,FALSE,"Calcs";"calcs2",#N/A,FALSE,"Calcs"}</definedName>
    <definedName name="wrn.CBd750" localSheetId="19" hidden="1">{"CBd750-IP(FAS87)",#N/A,FALSE,"CBd750";"CBd750-Dyn(FAS87)",#N/A,FALSE,"CBd750";"CBd750-IP(G/L)",#N/A,FALSE,"CBd750";"CBd750-Dyn(G/L)",#N/A,FALSE,"CBd750";"CBd750-Both(Amort)",#N/A,FALSE,"CBd750"}</definedName>
    <definedName name="wrn.CBd750" hidden="1">{"CBd750-IP(FAS87)",#N/A,FALSE,"CBd750";"CBd750-Dyn(FAS87)",#N/A,FALSE,"CBd750";"CBd750-IP(G/L)",#N/A,FALSE,"CBd750";"CBd750-Dyn(G/L)",#N/A,FALSE,"CBd750";"CBd750-Both(Amort)",#N/A,FALSE,"CBd750"}</definedName>
    <definedName name="wrn.ChartSet." localSheetId="19" hidden="1">{#N/A,#N/A,FALSE,"Elec Deliv";#N/A,#N/A,FALSE,"Atlantic Pie";#N/A,#N/A,FALSE,"Bay Pie";#N/A,#N/A,FALSE,"New Castle Pie";#N/A,#N/A,FALSE,"Transmission Pie"}</definedName>
    <definedName name="wrn.ChartSet." localSheetId="13" hidden="1">{#N/A,#N/A,FALSE,"Elec Deliv";#N/A,#N/A,FALSE,"Atlantic Pie";#N/A,#N/A,FALSE,"Bay Pie";#N/A,#N/A,FALSE,"New Castle Pie";#N/A,#N/A,FALSE,"Transmission Pie"}</definedName>
    <definedName name="wrn.ChartSet." hidden="1">{#N/A,#N/A,FALSE,"Elec Deliv";#N/A,#N/A,FALSE,"Atlantic Pie";#N/A,#N/A,FALSE,"Bay Pie";#N/A,#N/A,FALSE,"New Castle Pie";#N/A,#N/A,FALSE,"Transmission Pie"}</definedName>
    <definedName name="wrn.Chemical._.Summary." localSheetId="19" hidden="1">{"US Chemical Summary",#N/A,FALSE,"USChem";"Foreign Chemical Summary",#N/A,FALSE,"ForChem"}</definedName>
    <definedName name="wrn.Chemical._.Summary." hidden="1">{"US Chemical Summary",#N/A,FALSE,"USChem";"Foreign Chemical Summary",#N/A,FALSE,"ForChem"}</definedName>
    <definedName name="wrn.CIG."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wrn.CIG."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wrn.CIG._.Back._.up._.Files." localSheetId="19" hidden="1">{#N/A,#N/A,FALSE,"BACK UP CIG"}</definedName>
    <definedName name="wrn.CIG._.Back._.up._.Files." hidden="1">{#N/A,#N/A,FALSE,"BACK UP CIG"}</definedName>
    <definedName name="wrn.CIG._.Back._.up._.Files._1" localSheetId="19" hidden="1">{#N/A,#N/A,FALSE,"BACK UP CIG"}</definedName>
    <definedName name="wrn.CIG._.Back._.up._.Files._1" hidden="1">{#N/A,#N/A,FALSE,"BACK UP CIG"}</definedName>
    <definedName name="wrn.CIG._.Back._.up._.Files._2" localSheetId="19" hidden="1">{#N/A,#N/A,FALSE,"BACK UP CIG"}</definedName>
    <definedName name="wrn.CIG._.Back._.up._.Files._2" hidden="1">{#N/A,#N/A,FALSE,"BACK UP CIG"}</definedName>
    <definedName name="wrn.CIG._.Back._.up._.Files._3" localSheetId="19" hidden="1">{#N/A,#N/A,FALSE,"BACK UP CIG"}</definedName>
    <definedName name="wrn.CIG._.Back._.up._.Files._3" hidden="1">{#N/A,#N/A,FALSE,"BACK UP CIG"}</definedName>
    <definedName name="wrn.CIG._.Back._.up._.Files._4" localSheetId="19" hidden="1">{#N/A,#N/A,FALSE,"BACK UP CIG"}</definedName>
    <definedName name="wrn.CIG._.Back._.up._.Files._4" hidden="1">{#N/A,#N/A,FALSE,"BACK UP CIG"}</definedName>
    <definedName name="wrn.CIG._.Back._.up._.Files._5" localSheetId="19" hidden="1">{#N/A,#N/A,FALSE,"BACK UP CIG"}</definedName>
    <definedName name="wrn.CIG._.Back._.up._.Files._5" hidden="1">{#N/A,#N/A,FALSE,"BACK UP CIG"}</definedName>
    <definedName name="wrn.CIG._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wrn.CIG._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wrn.CIG._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wrn.CIG._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wrn.CIG._3"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wrn.CIG._3"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wrn.CIG._4"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wrn.CIG._4"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wrn.CIG._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wrn.CIG._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wrn.CIPG._.All._.Sheets." localSheetId="19" hidden="1">{#N/A,#N/A,FALSE,"Cover";#N/A,#N/A,FALSE,"Commentary";#N/A,#N/A,FALSE,"key ind";#N/A,#N/A,FALSE,"CIG RSB";#N/A,#N/A,FALSE,"4-up charts p.1";#N/A,#N/A,FALSE,"4-up charts p.2";#N/A,#N/A,FALSE,"Q1 Markets";#N/A,#N/A,FALSE,"Annual Mkts";#N/A,#N/A,FALSE," rate of ? qtr";#N/A,#N/A,FALSE,"Detail Rel rate of ? ";#N/A,#N/A,FALSE,"Q1 Products";#N/A,#N/A,FALSE,"Annual Products";#N/A,#N/A,FALSE,"SMUG";#N/A,#N/A,FALSE,"IDL Budgets";#N/A,#N/A,FALSE,"HC Trend";#N/A,#N/A,FALSE,"Functional HC ";#N/A,#N/A,FALSE,"Capital Expd";#N/A,#N/A,FALSE,"Capital CO";#N/A,#N/A,FALSE,"Inventory"}</definedName>
    <definedName name="wrn.CIPG._.All._.Sheets." hidden="1">{#N/A,#N/A,FALSE,"Cover";#N/A,#N/A,FALSE,"Commentary";#N/A,#N/A,FALSE,"key ind";#N/A,#N/A,FALSE,"CIG RSB";#N/A,#N/A,FALSE,"4-up charts p.1";#N/A,#N/A,FALSE,"4-up charts p.2";#N/A,#N/A,FALSE,"Q1 Markets";#N/A,#N/A,FALSE,"Annual Mkts";#N/A,#N/A,FALSE," rate of ? qtr";#N/A,#N/A,FALSE,"Detail Rel rate of ? ";#N/A,#N/A,FALSE,"Q1 Products";#N/A,#N/A,FALSE,"Annual Products";#N/A,#N/A,FALSE,"SMUG";#N/A,#N/A,FALSE,"IDL Budgets";#N/A,#N/A,FALSE,"HC Trend";#N/A,#N/A,FALSE,"Functional HC ";#N/A,#N/A,FALSE,"Capital Expd";#N/A,#N/A,FALSE,"Capital CO";#N/A,#N/A,FALSE,"Inventory"}</definedName>
    <definedName name="wrn.CIPG._.Black._.and._.White." localSheetId="19" hidden="1">{#N/A,#N/A,FALSE,"Cover";#N/A,#N/A,FALSE,"Commentary";#N/A,#N/A,FALSE,"key ind";#N/A,#N/A,FALSE,"CIG RSB";#N/A,#N/A,FALSE,"Q1 Markets";#N/A,#N/A,FALSE,"Annual Mkts";#N/A,#N/A,FALSE,"Q1 Products";#N/A,#N/A,FALSE,"Annual Products";#N/A,#N/A,FALSE,"SMUG";#N/A,#N/A,FALSE,"IDL Budgets";#N/A,#N/A,FALSE,"HC Trend";#N/A,#N/A,FALSE,"Functional HC ";#N/A,#N/A,FALSE,"Capital Expd";#N/A,#N/A,FALSE,"Capital CO"}</definedName>
    <definedName name="wrn.CIPG._.Black._.and._.White." hidden="1">{#N/A,#N/A,FALSE,"Cover";#N/A,#N/A,FALSE,"Commentary";#N/A,#N/A,FALSE,"key ind";#N/A,#N/A,FALSE,"CIG RSB";#N/A,#N/A,FALSE,"Q1 Markets";#N/A,#N/A,FALSE,"Annual Mkts";#N/A,#N/A,FALSE,"Q1 Products";#N/A,#N/A,FALSE,"Annual Products";#N/A,#N/A,FALSE,"SMUG";#N/A,#N/A,FALSE,"IDL Budgets";#N/A,#N/A,FALSE,"HC Trend";#N/A,#N/A,FALSE,"Functional HC ";#N/A,#N/A,FALSE,"Capital Expd";#N/A,#N/A,FALSE,"Capital CO"}</definedName>
    <definedName name="wrn.CIPG._.Color._.Charts." localSheetId="19" hidden="1">{#N/A,#N/A,FALSE,"4-up charts p.1";#N/A,#N/A,FALSE,"4-up charts p.2";#N/A,#N/A,FALSE," rate of ? qtr";#N/A,#N/A,FALSE,"Detail Rel rate of ? ";#N/A,#N/A,FALSE,"Inventory"}</definedName>
    <definedName name="wrn.CIPG._.Color._.Charts." hidden="1">{#N/A,#N/A,FALSE,"4-up charts p.1";#N/A,#N/A,FALSE,"4-up charts p.2";#N/A,#N/A,FALSE," rate of ? qtr";#N/A,#N/A,FALSE,"Detail Rel rate of ? ";#N/A,#N/A,FALSE,"Inventory"}</definedName>
    <definedName name="wrn.ClientReport." localSheetId="19" hidden="1">{"Summary",#N/A,FALSE,"Summary";"Liabsumm",#N/A,FALSE,"Liabsumm";"Assets",#N/A,FALSE,"Assets";"GL",#N/A,FALSE,"GL";"GL2",#N/A,FALSE,"GL2";"amort",#N/A,FALSE,"amort";"Recon",#N/A,FALSE,"Recon";"FAS1321",#N/A,FALSE,"FAS1321";"FAS1322",#N/A,FALSE,"FAS1322"}</definedName>
    <definedName name="wrn.ClientReport." hidden="1">{"Summary",#N/A,FALSE,"Summary";"Liabsumm",#N/A,FALSE,"Liabsumm";"Assets",#N/A,FALSE,"Assets";"GL",#N/A,FALSE,"GL";"GL2",#N/A,FALSE,"GL2";"amort",#N/A,FALSE,"amort";"Recon",#N/A,FALSE,"Recon";"FAS1321",#N/A,FALSE,"FAS1321";"FAS1322",#N/A,FALSE,"FAS1322"}</definedName>
    <definedName name="wrn.company." localSheetId="19" hidden="1">{"Earnings",#N/A,FALSE,"Earnings";"BalanceSheet",#N/A,FALSE,"BalanceSheet";"Change in Cash",#N/A,FALSE,"CashFlow";"normalengs",#N/A,FALSE,"NormalEngs";"US EP Profit and PerBbl",#N/A,FALSE,"US E&amp;P";"Canada EP Profit and PerBbl",#N/A,FALSE,"Canada E&amp;P";"Eur EP Price and Vol Detail",#N/A,FALSE,"Eur E&amp;P";"Other EP Price and Vol Detail",#N/A,FALSE,"Other Foreign E&amp;P";"RM Earnings",#N/A,FALSE,"R&amp;M ";"US Chemical Earnings",#N/A,FALSE,"Chemical";"CAPEX and Exploration",#N/A,FALSE,"CAPEX Sum";#N/A,#N/A,FALSE,"Assumptions"}</definedName>
    <definedName name="wrn.company." hidden="1">{"Earnings",#N/A,FALSE,"Earnings";"BalanceSheet",#N/A,FALSE,"BalanceSheet";"Change in Cash",#N/A,FALSE,"CashFlow";"normalengs",#N/A,FALSE,"NormalEngs";"US EP Profit and PerBbl",#N/A,FALSE,"US E&amp;P";"Canada EP Profit and PerBbl",#N/A,FALSE,"Canada E&amp;P";"Eur EP Price and Vol Detail",#N/A,FALSE,"Eur E&amp;P";"Other EP Price and Vol Detail",#N/A,FALSE,"Other Foreign E&amp;P";"RM Earnings",#N/A,FALSE,"R&amp;M ";"US Chemical Earnings",#N/A,FALSE,"Chemical";"CAPEX and Exploration",#N/A,FALSE,"CAPEX Sum";#N/A,#N/A,FALSE,"Assumptions"}</definedName>
    <definedName name="wrn.Complete_Package." localSheetId="19"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wrn.Complete_Package." hidden="1">{#N/A,#N/A,FALSE,"Cover";#N/A,#N/A,FALSE,"Comments CSS";#N/A,#N/A,FALSE,"Comments PPG";#N/A,#N/A,FALSE,"Comments CIG";#N/A,#N/A,FALSE,"Comments IDEN";#N/A,#N/A,FALSE,"BS CSS";#N/A,#N/A,FALSE,"BS PPG";#N/A,#N/A,FALSE,"BS CIG";#N/A,#N/A,FALSE,"BS IDEN";#N/A,#N/A,FALSE,"BS TOTAL";#N/A,#N/A,FALSE,"P&amp;L CSS";#N/A,#N/A,FALSE,"P&amp;L PPG";#N/A,#N/A,FALSE,"P&amp;L CIG";#N/A,#N/A,FALSE,"P&amp;L IDEN";#N/A,#N/A,FALSE,"P&amp;L TOTAL";#N/A,#N/A,FALSE,"Cash Flow CSS";#N/A,#N/A,FALSE,"Cash Flow PPG";#N/A,#N/A,FALSE,"Cash Flow CIG";#N/A,#N/A,FALSE,"Cash Flow IDEN";#N/A,#N/A,FALSE,"Cash Flow Total";#N/A,#N/A,FALSE,"MBR CSS";#N/A,#N/A,FALSE,"MBR PPG";#N/A,#N/A,FALSE,"MBR CIG";#N/A,#N/A,FALSE,"MBR IDEN";#N/A,#N/A,FALSE,"MBR JAG PLANT";#N/A,#N/A,FALSE,"Headcount - CSS";#N/A,#N/A,FALSE,"Headcount - PPG";#N/A,#N/A,FALSE,"Headcount - CIG";#N/A,#N/A,FALSE,"Headcount - IDEN";#N/A,#N/A,FALSE,"Headcount JAG PLANT";#N/A,#N/A,FALSE,"FAB UN CSS";#N/A,#N/A,FALSE,"FAB UN PPG";#N/A,#N/A,FALSE,"FAB UN CIG";#N/A,#N/A,FALSE,"FAB UN IDEN";#N/A,#N/A,FALSE,"CSS MFG";#N/A,#N/A,FALSE,"CSS Distr ";#N/A,#N/A,FALSE,"CSS 6-Up Charts";#N/A,#N/A,FALSE,"PPG MFG";#N/A,#N/A,FALSE,"PPG 6-Up Charts ";#N/A,#N/A,FALSE,"CIG MFG";#N/A,#N/A,FALSE,"IDEN MFG";#N/A,#N/A,FALSE,"IDEN 6-Up Charts  ";#N/A,#N/A,FALSE,"CSS Inventory";#N/A,#N/A,FALSE,"PPG Inventory";#N/A,#N/A,FALSE,"CIG Inventory";#N/A,#N/A,FALSE,"IDEN Inventory";#N/A,#N/A,FALSE,"CE JAG Inventory";#N/A,#N/A,FALSE,"FM CSS";#N/A,#N/A,FALSE,"NSAD ASP CSS";#N/A,#N/A,FALSE,"FM CIG";#N/A,#N/A,FALSE,"NSAD ASP CIG";#N/A,#N/A,FALSE,"FM iDEN";#N/A,#N/A,FALSE,"NSAD IDEN";#N/A,#N/A,FALSE,"Capital Expenditures";#N/A,#N/A,FALSE,"R&amp;D  Report"}</definedName>
    <definedName name="wrn.Cover_financials." localSheetId="19" hidden="1">{"Factsheet",#N/A,FALSE,"Fact";"Earnings",#N/A,FALSE,"Earnings";"BalanceSheet",#N/A,FALSE,"BalanceSheet";"Change in Cash",#N/A,FALSE,"CashFlow"}</definedName>
    <definedName name="wrn.Cover_financials." hidden="1">{"Factsheet",#N/A,FALSE,"Fact";"Earnings",#N/A,FALSE,"Earnings";"BalanceSheet",#N/A,FALSE,"BalanceSheet";"Change in Cash",#N/A,FALSE,"CashFlow"}</definedName>
    <definedName name="wrn.Data._.dump." localSheetId="19" hidden="1">{"Input Data",#N/A,FALSE,"Input";"Income and Cash Flow",#N/A,FALSE,"Calculations"}</definedName>
    <definedName name="wrn.Data._.dump." localSheetId="13" hidden="1">{"Input Data",#N/A,FALSE,"Input";"Income and Cash Flow",#N/A,FALSE,"Calculations"}</definedName>
    <definedName name="wrn.Data._.dump." hidden="1">{"Input Data",#N/A,FALSE,"Input";"Income and Cash Flow",#N/A,FALSE,"Calculations"}</definedName>
    <definedName name="wrn.Deferral._.Forecast." localSheetId="19" hidden="1">{"Summary Deferral Forecast",#N/A,FALSE,"Deferral Forecast";"BGS Deferral Forecast",#N/A,FALSE,"BGS Deferral";"NNC Deferral Forecast",#N/A,FALSE,"NNC Deferral";"MTCDeferralForecast",#N/A,FALSE,"MTC Deferral";"SBC Deferral Forecast",#N/A,FALSE,"SBC Deferral"}</definedName>
    <definedName name="wrn.Deferral._.Forecast." localSheetId="13" hidden="1">{"Summary Deferral Forecast",#N/A,FALSE,"Deferral Forecast";"BGS Deferral Forecast",#N/A,FALSE,"BGS Deferral";"NNC Deferral Forecast",#N/A,FALSE,"NNC Deferral";"MTCDeferralForecast",#N/A,FALSE,"MTC Deferral";"SBC Deferral Forecast",#N/A,FALSE,"SBC Deferral"}</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Earn._.Model._.with._.Detail." localSheetId="19" hidden="1">{"Earnings_Summary",#N/A,FALSE,"Earnings Model";"Earnings EP Detail",#N/A,FALSE,"Earnings Model";"Earnings RM Detail",#N/A,FALSE,"Earnings Model"}</definedName>
    <definedName name="wrn.Earn._.Model._.with._.Detail." hidden="1">{"Earnings_Summary",#N/A,FALSE,"Earnings Model";"Earnings EP Detail",#N/A,FALSE,"Earnings Model";"Earnings RM Detail",#N/A,FALSE,"Earnings Model"}</definedName>
    <definedName name="wrn.eoy." localSheetId="19" hidden="1">{"p1_0650",#N/A,FALSE,"disc1_0650";"p3_0650",#N/A,FALSE,"disc2_0650";"p1_0700",#N/A,FALSE,"disc1_0700";"p3_0700",#N/A,FALSE,"disc2_0700";"p1_0725",#N/A,FALSE,"disc1_0725";"p3_0725",#N/A,FALSE,"disc2_0725";"p2_0650",#N/A,FALSE,"pna1_0650";"p4_0650",#N/A,FALSE,"pna2_0650";"p2_0700",#N/A,FALSE,"pna1_0700";"p4_0700",#N/A,FALSE,"pna2_0700";"p2_0725",#N/A,FALSE,"pna1_0725";"p4_0725",#N/A,FALSE,"pna2_0725";"p5_0700",#N/A,FALSE,"apbo_plan_ANC_0700";"p6_0700",#N/A,FALSE,"apbo_plan_pppi_0700";"p5_0725",#N/A,FALSE,"apbo_plan_ANC_0725";"p6_0725",#N/A,FALSE,"apbo_plan_pppi_0725";"p5_0650",#N/A,FALSE,"apbo_plan_ANC_0650";"p6_0650",#N/A,FALSE,"apbo_plan_pppi_0650"}</definedName>
    <definedName name="wrn.eoy." hidden="1">{"p1_0650",#N/A,FALSE,"disc1_0650";"p3_0650",#N/A,FALSE,"disc2_0650";"p1_0700",#N/A,FALSE,"disc1_0700";"p3_0700",#N/A,FALSE,"disc2_0700";"p1_0725",#N/A,FALSE,"disc1_0725";"p3_0725",#N/A,FALSE,"disc2_0725";"p2_0650",#N/A,FALSE,"pna1_0650";"p4_0650",#N/A,FALSE,"pna2_0650";"p2_0700",#N/A,FALSE,"pna1_0700";"p4_0700",#N/A,FALSE,"pna2_0700";"p2_0725",#N/A,FALSE,"pna1_0725";"p4_0725",#N/A,FALSE,"pna2_0725";"p5_0700",#N/A,FALSE,"apbo_plan_ANC_0700";"p6_0700",#N/A,FALSE,"apbo_plan_pppi_0700";"p5_0725",#N/A,FALSE,"apbo_plan_ANC_0725";"p6_0725",#N/A,FALSE,"apbo_plan_pppi_0725";"p5_0650",#N/A,FALSE,"apbo_plan_ANC_0650";"p6_0650",#N/A,FALSE,"apbo_plan_pppi_0650"}</definedName>
    <definedName name="wrn.eoy_disc." localSheetId="19" hidden="1">{"pna_disc_p1",#N/A,FALSE,"pna_disc_p1";"apbo_plan",#N/A,FALSE,"apbo_plan";"anc_disc_p1",#N/A,FALSE,"anc_disc_p1";"anc_disc_p2",#N/A,FALSE,"anc_disc_p2";"pna_disc_p2",#N/A,FALSE,"pna_disc_p2"}</definedName>
    <definedName name="wrn.eoy_disc." hidden="1">{"pna_disc_p1",#N/A,FALSE,"pna_disc_p1";"apbo_plan",#N/A,FALSE,"apbo_plan";"anc_disc_p1",#N/A,FALSE,"anc_disc_p1";"anc_disc_p2",#N/A,FALSE,"anc_disc_p2";"pna_disc_p2",#N/A,FALSE,"pna_disc_p2"}</definedName>
    <definedName name="wrn.EOY_Disc2" localSheetId="19" hidden="1">{"F132_1_6.50",#N/A,FALSE,"FAS132_7.25%";"F132_AML_6.50",#N/A,FALSE,"FAS132_7.25%";"F132_2_6.50",#N/A,FALSE,"FAS132_7.25%";"F132_AML_7.25",#N/A,FALSE,"FAS132_7.25%";"F132_2_7.25",#N/A,FALSE,"FAS132_7.25%";"F132_1_7.25",#N/A,FALSE,"FAS132_7.25%";"F132_AML_7.00",#N/A,FALSE,"FAS132_7.25%";"F132_2_7.00",#N/A,FALSE,"FAS132_7.25%";"F132_1_7.00",#N/A,FALSE,"FAS132_7.25%"}</definedName>
    <definedName name="wrn.EOY_Disc2" hidden="1">{"F132_1_6.50",#N/A,FALSE,"FAS132_7.25%";"F132_AML_6.50",#N/A,FALSE,"FAS132_7.25%";"F132_2_6.50",#N/A,FALSE,"FAS132_7.25%";"F132_AML_7.25",#N/A,FALSE,"FAS132_7.25%";"F132_2_7.25",#N/A,FALSE,"FAS132_7.25%";"F132_1_7.25",#N/A,FALSE,"FAS132_7.25%";"F132_AML_7.00",#N/A,FALSE,"FAS132_7.25%";"F132_2_7.00",#N/A,FALSE,"FAS132_7.25%";"F132_1_7.00",#N/A,FALSE,"FAS132_7.25%"}</definedName>
    <definedName name="wrn.eoypages." localSheetId="19" hidden="1">{"AR4",#N/A,FALSE,"act_liab_anc";"AR5",#N/A,FALSE,"act_liab_anc";"AR8",#N/A,FALSE,"act_liab_pppi";"AR9",#N/A,FALSE,"act_liab_pppi";"AR6",#N/A,FALSE,"inact_liab_anc";"AR7",#N/A,FALSE,"inact_liab_anc";"AR11",#N/A,FALSE,"inact_liab_pppi";"AR10",#N/A,FALSE,"inact_liab_pppi";"AR12",#N/A,FALSE,"risk_liab"}</definedName>
    <definedName name="wrn.eoypages." hidden="1">{"AR4",#N/A,FALSE,"act_liab_anc";"AR5",#N/A,FALSE,"act_liab_anc";"AR8",#N/A,FALSE,"act_liab_pppi";"AR9",#N/A,FALSE,"act_liab_pppi";"AR6",#N/A,FALSE,"inact_liab_anc";"AR7",#N/A,FALSE,"inact_liab_anc";"AR11",#N/A,FALSE,"inact_liab_pppi";"AR10",#N/A,FALSE,"inact_liab_pppi";"AR12",#N/A,FALSE,"risk_liab"}</definedName>
    <definedName name="wrn.EP._.DCF._.Valuation._.by._.Segment." localSheetId="19" hidden="1">{"US EP DCF Valuation",#N/A,FALSE,"USE&amp;P ";"Can EP DCF Valuation",#N/A,FALSE,"Can E&amp;P";"Eur EP DCF Valuation",#N/A,FALSE,"Eur E&amp;P";"ASPAC EP DCF Valuation",#N/A,FALSE,"Asia-Pac E&amp;P";"NonCon EP DCF Valuation",#N/A,FALSE,"Non-Con E&amp;P"}</definedName>
    <definedName name="wrn.EP._.DCF._.Valuation._.by._.Segment." hidden="1">{"US EP DCF Valuation",#N/A,FALSE,"USE&amp;P ";"Can EP DCF Valuation",#N/A,FALSE,"Can E&amp;P";"Eur EP DCF Valuation",#N/A,FALSE,"Eur E&amp;P";"ASPAC EP DCF Valuation",#N/A,FALSE,"Asia-Pac E&amp;P";"NonCon EP DCF Valuation",#N/A,FALSE,"Non-Con E&amp;P"}</definedName>
    <definedName name="wrn.ep._.details." localSheetId="19" hidden="1">{"us ep earnings",#N/A,FALSE,"US E&amp;P";"us ep price vol detail",#N/A,FALSE,"US E&amp;P";"fareast ep earnings",#N/A,FALSE,"Far East E&amp;P";"fareast ep price vol detail",#N/A,FALSE,"Far East E&amp;P";"other EP earnings",#N/A,FALSE,"Other E&amp;P";"other EP price vol detail",#N/A,FALSE,"Other E&amp;P"}</definedName>
    <definedName name="wrn.ep._.details." hidden="1">{"us ep earnings",#N/A,FALSE,"US E&amp;P";"us ep price vol detail",#N/A,FALSE,"US E&amp;P";"fareast ep earnings",#N/A,FALSE,"Far East E&amp;P";"fareast ep price vol detail",#N/A,FALSE,"Far East E&amp;P";"other EP earnings",#N/A,FALSE,"Other E&amp;P";"other EP price vol detail",#N/A,FALSE,"Other E&amp;P"}</definedName>
    <definedName name="wrn.EP._.Earns._.Detail._.by._.Segment." localSheetId="19" hidden="1">{"US EP Earn and Prof Analysis",#N/A,FALSE,"US E&amp;P ";"Can EP Earn and Prof Analysis",#N/A,FALSE,"Can E&amp;P";"Eur EP Earn and Prof Analysis",#N/A,FALSE,"Eur E&amp;P";"ASPAC EP Earn and Prof Analysis",#N/A,FALSE,"Asia-Pac E&amp;P";"NonCon EP Earn Prof Analysis",#N/A,FALSE,"Non-Con E&amp;P";"OG Production Sum",#N/A,FALSE,"E&amp;P Summary"}</definedName>
    <definedName name="wrn.EP._.Earns._.Detail._.by._.Segment." hidden="1">{"US EP Earn and Prof Analysis",#N/A,FALSE,"US E&amp;P ";"Can EP Earn and Prof Analysis",#N/A,FALSE,"Can E&amp;P";"Eur EP Earn and Prof Analysis",#N/A,FALSE,"Eur E&amp;P";"ASPAC EP Earn and Prof Analysis",#N/A,FALSE,"Asia-Pac E&amp;P";"NonCon EP Earn Prof Analysis",#N/A,FALSE,"Non-Con E&amp;P";"OG Production Sum",#N/A,FALSE,"E&amp;P Summary"}</definedName>
    <definedName name="wrn.Estimated._.Tax._.Annualized._.Method." localSheetId="19" hidden="1">{#N/A,#N/A,FALSE,"Summary";#N/A,#N/A,FALSE,"Adj to Option C";#N/A,#N/A,FALSE,"Dividend Analysis";#N/A,#N/A,FALSE,"Reserve Analysis";#N/A,#N/A,FALSE,"Depreciation";#N/A,#N/A,FALSE,"Other Tax Adj"}</definedName>
    <definedName name="wrn.Estimated._.Tax._.Annualized._.Method." hidden="1">{#N/A,#N/A,FALSE,"Summary";#N/A,#N/A,FALSE,"Adj to Option C";#N/A,#N/A,FALSE,"Dividend Analysis";#N/A,#N/A,FALSE,"Reserve Analysis";#N/A,#N/A,FALSE,"Depreciation";#N/A,#N/A,FALSE,"Other Tax Adj"}</definedName>
    <definedName name="wrn.FAS132." localSheetId="19" hidden="1">{"Disc_part1",#N/A,FALSE,"FAS132";"Disc_part2",#N/A,FALSE,"FAS132"}</definedName>
    <definedName name="wrn.FAS132." hidden="1">{"Disc_part1",#N/A,FALSE,"FAS132";"Disc_part2",#N/A,FALSE,"FAS132"}</definedName>
    <definedName name="wrn.Fas132.2" localSheetId="19" hidden="1">{"Disc_part1",#N/A,FALSE,"FAS132";"Disc_part2",#N/A,FALSE,"FAS132"}</definedName>
    <definedName name="wrn.Fas132.2" hidden="1">{"Disc_part1",#N/A,FALSE,"FAS132";"Disc_part2",#N/A,FALSE,"FAS132"}</definedName>
    <definedName name="wrn.Filing." localSheetId="19"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localSheetId="13"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nal._.Copies." localSheetId="19" hidden="1">{"PPPI FAS87",#N/A,FALSE,"PPPI";"GroupA",#N/A,FALSE,"GroupA";"GroupB",#N/A,FALSE,"GroupB";"GainLoss",#N/A,FALSE,"GainLoss1"}</definedName>
    <definedName name="wrn.Final._.Copies." hidden="1">{"PPPI FAS87",#N/A,FALSE,"PPPI";"GroupA",#N/A,FALSE,"GroupA";"GroupB",#N/A,FALSE,"GroupB";"GainLoss",#N/A,FALSE,"GainLoss1"}</definedName>
    <definedName name="wrn.FinalCopies." localSheetId="19" hidden="1">{"FinalAll-Dyn",#N/A,TRUE,"Total";"FinalPens-Dyn",#N/A,TRUE,"Pensions";"FinalOPEB-Dyn",#N/A,TRUE,"OPEB";"FinalAllRound-Dyn",#N/A,TRUE,"Total";"FinalAll-IP",#N/A,TRUE,"Total";"FinalPens-IP",#N/A,TRUE,"Pensions";"FinalAllRound-IP",#N/A,TRUE,"Total"}</definedName>
    <definedName name="wrn.FinalCopies." hidden="1">{"FinalAll-Dyn",#N/A,TRUE,"Total";"FinalPens-Dyn",#N/A,TRUE,"Pensions";"FinalOPEB-Dyn",#N/A,TRUE,"OPEB";"FinalAllRound-Dyn",#N/A,TRUE,"Total";"FinalAll-IP",#N/A,TRUE,"Total";"FinalPens-IP",#N/A,TRUE,"Pensions";"FinalAllRound-IP",#N/A,TRUE,"Total"}</definedName>
    <definedName name="wrn.Financials." localSheetId="19" hidden="1">{"Earnings",#N/A,FALSE,"Earnings";"BalanceSheet",#N/A,FALSE,"BalanceSheet";"Change in Cash",#N/A,FALSE,"CashFlow";"normalengs",#N/A,FALSE,"NormalEngs";"upstream normal per Bbl",#N/A,FALSE,"NormEngUp";"CAPEXsum",#N/A,FALSE,"CAPEX Sum"}</definedName>
    <definedName name="wrn.Financials." hidden="1">{"Earnings",#N/A,FALSE,"Earnings";"BalanceSheet",#N/A,FALSE,"BalanceSheet";"Change in Cash",#N/A,FALSE,"CashFlow";"normalengs",#N/A,FALSE,"NormalEngs";"upstream normal per Bbl",#N/A,FALSE,"NormEngUp";"CAPEXsum",#N/A,FALSE,"CAPEX Sum"}</definedName>
    <definedName name="wrn.For._.filling._.out._.assessments." localSheetId="19" hidden="1">{"Print Empty Template",#N/A,FALSE,"Input"}</definedName>
    <definedName name="wrn.For._.filling._.out._.assessments." localSheetId="13" hidden="1">{"Print Empty Template",#N/A,FALSE,"Input"}</definedName>
    <definedName name="wrn.For._.filling._.out._.assessments." hidden="1">{"Print Empty Template",#N/A,FALSE,"Input"}</definedName>
    <definedName name="wrn.For._.IR." localSheetId="19" hidden="1">{"Earnings",#N/A,TRUE,"Earnings";"qtr for IR",#N/A,TRUE,"Quarters";"balancesheet",#N/A,TRUE,"BalanceSheet";"change in cash",#N/A,TRUE,"CashFlow";"oil and gas earnings",#N/A,TRUE,"Oil and Gas Results";"price and vol detail",#N/A,TRUE,"Oil and Gas Results";"capexsum",#N/A,TRUE,"CAPEX Sum"}</definedName>
    <definedName name="wrn.For._.IR." hidden="1">{"Earnings",#N/A,TRUE,"Earnings";"qtr for IR",#N/A,TRUE,"Quarters";"balancesheet",#N/A,TRUE,"BalanceSheet";"change in cash",#N/A,TRUE,"CashFlow";"oil and gas earnings",#N/A,TRUE,"Oil and Gas Results";"price and vol detail",#N/A,TRUE,"Oil and Gas Results";"capexsum",#N/A,TRUE,"CAPEX Sum"}</definedName>
    <definedName name="wrn.for._.IR._.review." localSheetId="19" hidden="1">{"Earnings",#N/A,FALSE,"Earnings";"BalanceSheet",#N/A,FALSE,"BalanceSheet";"ChangeinCash",#N/A,FALSE,"CashFlow";"IR Production Sum",#N/A,FALSE,"E&amp;P Summary";"IR EPCost Sum",#N/A,FALSE,"E&amp;P Summary"}</definedName>
    <definedName name="wrn.for._.IR._.review." hidden="1">{"Earnings",#N/A,FALSE,"Earnings";"BalanceSheet",#N/A,FALSE,"BalanceSheet";"ChangeinCash",#N/A,FALSE,"CashFlow";"IR Production Sum",#N/A,FALSE,"E&amp;P Summary";"IR EPCost Sum",#N/A,FALSE,"E&amp;P Summary"}</definedName>
    <definedName name="wrn.For._.Merge." localSheetId="19" hidden="1">{"Earnings",#N/A,FALSE,"Earnings";"balancesheet",#N/A,FALSE,"BalanceSheet";"change in cash",#N/A,FALSE,"CashFlow";"oil and gas results",#N/A,FALSE,"Oil and Gas Earnings";"foreign oil and gas results",#N/A,FALSE,"Foreign O&amp;G";"oil and gas details",#N/A,FALSE,"Foreign O&amp;G";"capexsum",#N/A,FALSE,"CAPEX Sum"}</definedName>
    <definedName name="wrn.For._.Merge." hidden="1">{"Earnings",#N/A,FALSE,"Earnings";"balancesheet",#N/A,FALSE,"BalanceSheet";"change in cash",#N/A,FALSE,"CashFlow";"oil and gas results",#N/A,FALSE,"Oil and Gas Earnings";"foreign oil and gas results",#N/A,FALSE,"Foreign O&amp;G";"oil and gas details",#N/A,FALSE,"Foreign O&amp;G";"capexsum",#N/A,FALSE,"CAPEX Sum"}</definedName>
    <definedName name="wrn.For._.Report." localSheetId="19" hidden="1">{"Factsheet",#N/A,FALSE,"Fact";"Earnings",#N/A,FALSE,"Earnings";"BalanceSheet",#N/A,FALSE,"BalanceSheet";"Change in Cash",#N/A,FALSE,"CashFlow";"Q Rating",#N/A,FALSE,"Q-Rating";"Dupont",#N/A,FALSE,"Dupont"}</definedName>
    <definedName name="wrn.For._.Report." hidden="1">{"Factsheet",#N/A,FALSE,"Fact";"Earnings",#N/A,FALSE,"Earnings";"BalanceSheet",#N/A,FALSE,"BalanceSheet";"Change in Cash",#N/A,FALSE,"CashFlow";"Q Rating",#N/A,FALSE,"Q-Rating";"Dupont",#N/A,FALSE,"Dupont"}</definedName>
    <definedName name="wrn.Full._.Model." localSheetId="19" hidden="1">{#N/A,#N/A,FALSE,"Cover";"Factsheet",#N/A,FALSE,"Factsheet";"GPVM",#N/A,FALSE,"DDM";"normal growth",#N/A,FALSE,"Normal Growth";"Earnings",#N/A,FALSE,"Earnings";"interim model",#N/A,FALSE,"Interim";"balancesheet",#N/A,FALSE,"BalanceSheet";"balance sheet details",#N/A,FALSE,"BalanceSheet";"change in cash",#N/A,FALSE,"CashFlow";"UK oil and gas results",#N/A,FALSE,"UK Production";"Int. Oil and Gas Results",#N/A,FALSE,"International E&amp;P";"capexsum",#N/A,FALSE,"CAPEX Sum";"K",#N/A,FALSE,"Forecast K (2)"}</definedName>
    <definedName name="wrn.Full._.Model." hidden="1">{#N/A,#N/A,FALSE,"Cover";"Factsheet",#N/A,FALSE,"Factsheet";"GPVM",#N/A,FALSE,"DDM";"normal growth",#N/A,FALSE,"Normal Growth";"Earnings",#N/A,FALSE,"Earnings";"interim model",#N/A,FALSE,"Interim";"balancesheet",#N/A,FALSE,"BalanceSheet";"balance sheet details",#N/A,FALSE,"BalanceSheet";"change in cash",#N/A,FALSE,"CashFlow";"UK oil and gas results",#N/A,FALSE,"UK Production";"Int. Oil and Gas Results",#N/A,FALSE,"International E&amp;P";"capexsum",#N/A,FALSE,"CAPEX Sum";"K",#N/A,FALSE,"Forecast K (2)"}</definedName>
    <definedName name="wrn.HAReport." localSheetId="19" hidden="1">{"Input1",#N/A,FALSE,"Input";"Input2",#N/A,FALSE,"Input";"Input3",#N/A,FALSE,"Input2";"Calc1",#N/A,FALSE,"Calcs";"Calc2",#N/A,FALSE,"Calcs";"Liabsumm",#N/A,FALSE,"Liabsumm";"Summary",#N/A,FALSE,"Summary";"GL",#N/A,FALSE,"GL";"GL2",#N/A,FALSE,"GL2";"amort",#N/A,FALSE,"amort";"Recon",#N/A,FALSE,"Recon";"FAS1321",#N/A,FALSE,"FAS1321";"FAS1322",#N/A,FALSE,"FAS1322"}</definedName>
    <definedName name="wrn.HAReport." hidden="1">{"Input1",#N/A,FALSE,"Input";"Input2",#N/A,FALSE,"Input";"Input3",#N/A,FALSE,"Input2";"Calc1",#N/A,FALSE,"Calcs";"Calc2",#N/A,FALSE,"Calcs";"Liabsumm",#N/A,FALSE,"Liabsumm";"Summary",#N/A,FALSE,"Summary";"GL",#N/A,FALSE,"GL";"GL2",#N/A,FALSE,"GL2";"amort",#N/A,FALSE,"amort";"Recon",#N/A,FALSE,"Recon";"FAS1321",#N/A,FALSE,"FAS1321";"FAS1322",#N/A,FALSE,"FAS1322"}</definedName>
    <definedName name="wrn.Headcount." localSheetId="19" hidden="1">{#N/A,#N/A,FALSE,"Headcount_PCS ";#N/A,#N/A,FALSE,"Headcount CIG";#N/A,#N/A,FALSE,"Headcount iDEN";#N/A,#N/A,FALSE,"JAG PLANT TREND"}</definedName>
    <definedName name="wrn.Headcount." hidden="1">{#N/A,#N/A,FALSE,"Headcount_PCS ";#N/A,#N/A,FALSE,"Headcount CIG";#N/A,#N/A,FALSE,"Headcount iDEN";#N/A,#N/A,FALSE,"JAG PLANT TREND"}</definedName>
    <definedName name="wrn.Headcount._1" localSheetId="19" hidden="1">{#N/A,#N/A,FALSE,"Headcount_PCS ";#N/A,#N/A,FALSE,"Headcount CIG";#N/A,#N/A,FALSE,"Headcount iDEN";#N/A,#N/A,FALSE,"JAG PLANT TREND"}</definedName>
    <definedName name="wrn.Headcount._1" hidden="1">{#N/A,#N/A,FALSE,"Headcount_PCS ";#N/A,#N/A,FALSE,"Headcount CIG";#N/A,#N/A,FALSE,"Headcount iDEN";#N/A,#N/A,FALSE,"JAG PLANT TREND"}</definedName>
    <definedName name="wrn.Headcount._2" localSheetId="19" hidden="1">{#N/A,#N/A,FALSE,"Headcount_PCS ";#N/A,#N/A,FALSE,"Headcount CIG";#N/A,#N/A,FALSE,"Headcount iDEN";#N/A,#N/A,FALSE,"JAG PLANT TREND"}</definedName>
    <definedName name="wrn.Headcount._2" hidden="1">{#N/A,#N/A,FALSE,"Headcount_PCS ";#N/A,#N/A,FALSE,"Headcount CIG";#N/A,#N/A,FALSE,"Headcount iDEN";#N/A,#N/A,FALSE,"JAG PLANT TREND"}</definedName>
    <definedName name="wrn.Headcount._3" localSheetId="19" hidden="1">{#N/A,#N/A,FALSE,"Headcount_PCS ";#N/A,#N/A,FALSE,"Headcount CIG";#N/A,#N/A,FALSE,"Headcount iDEN";#N/A,#N/A,FALSE,"JAG PLANT TREND"}</definedName>
    <definedName name="wrn.Headcount._3" hidden="1">{#N/A,#N/A,FALSE,"Headcount_PCS ";#N/A,#N/A,FALSE,"Headcount CIG";#N/A,#N/A,FALSE,"Headcount iDEN";#N/A,#N/A,FALSE,"JAG PLANT TREND"}</definedName>
    <definedName name="wrn.Headcount._4" localSheetId="19" hidden="1">{#N/A,#N/A,FALSE,"Headcount_PCS ";#N/A,#N/A,FALSE,"Headcount CIG";#N/A,#N/A,FALSE,"Headcount iDEN";#N/A,#N/A,FALSE,"JAG PLANT TREND"}</definedName>
    <definedName name="wrn.Headcount._4" hidden="1">{#N/A,#N/A,FALSE,"Headcount_PCS ";#N/A,#N/A,FALSE,"Headcount CIG";#N/A,#N/A,FALSE,"Headcount iDEN";#N/A,#N/A,FALSE,"JAG PLANT TREND"}</definedName>
    <definedName name="wrn.Headcount._5" localSheetId="19" hidden="1">{#N/A,#N/A,FALSE,"Headcount_PCS ";#N/A,#N/A,FALSE,"Headcount CIG";#N/A,#N/A,FALSE,"Headcount iDEN";#N/A,#N/A,FALSE,"JAG PLANT TREND"}</definedName>
    <definedName name="wrn.Headcount._5" hidden="1">{#N/A,#N/A,FALSE,"Headcount_PCS ";#N/A,#N/A,FALSE,"Headcount CIG";#N/A,#N/A,FALSE,"Headcount iDEN";#N/A,#N/A,FALSE,"JAG PLANT TREND"}</definedName>
    <definedName name="wrn.HLP._.Detail." localSheetId="19" hidden="1">{"2002 - 2006 Detail Income Statement",#N/A,FALSE,"TUB Income Statement wo DW";"BGS Deferral",#N/A,FALSE,"BGS Deferral";"NNC Deferral",#N/A,FALSE,"NNC Deferral";"MTC Deferral",#N/A,FALSE,"MTC Deferral";#N/A,#N/A,FALSE,"Schedule D"}</definedName>
    <definedName name="wrn.HLP._.Detail." localSheetId="13" hidden="1">{"2002 - 2006 Detail Income Statement",#N/A,FALSE,"TUB Income Statement wo DW";"BGS Deferral",#N/A,FALSE,"BGS Deferral";"NNC Deferral",#N/A,FALSE,"NNC Deferral";"MTC Deferral",#N/A,FALSE,"MTC Deferral";#N/A,#N/A,FALSE,"Schedule D"}</definedName>
    <definedName name="wrn.HLP._.Detail." hidden="1">{"2002 - 2006 Detail Income Statement",#N/A,FALSE,"TUB Income Statement wo DW";"BGS Deferral",#N/A,FALSE,"BGS Deferral";"NNC Deferral",#N/A,FALSE,"NNC Deferral";"MTC Deferral",#N/A,FALSE,"MTC Deferral";#N/A,#N/A,FALSE,"Schedule D"}</definedName>
    <definedName name="wrn.IDEN."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wrn.IDEN."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wrn.iDEN._.Back._.up._.Files." localSheetId="19" hidden="1">{#N/A,#N/A,FALSE,"BACK UP Balance FDM";#N/A,#N/A,FALSE,"BACK UP ASP nsad"}</definedName>
    <definedName name="wrn.iDEN._.Back._.up._.Files." hidden="1">{#N/A,#N/A,FALSE,"BACK UP Balance FDM";#N/A,#N/A,FALSE,"BACK UP ASP nsad"}</definedName>
    <definedName name="wrn.iDEN._.Back._.up._.Files._1" localSheetId="19" hidden="1">{#N/A,#N/A,FALSE,"BACK UP Balance FDM";#N/A,#N/A,FALSE,"BACK UP ASP nsad"}</definedName>
    <definedName name="wrn.iDEN._.Back._.up._.Files._1" hidden="1">{#N/A,#N/A,FALSE,"BACK UP Balance FDM";#N/A,#N/A,FALSE,"BACK UP ASP nsad"}</definedName>
    <definedName name="wrn.iDEN._.Back._.up._.Files._2" localSheetId="19" hidden="1">{#N/A,#N/A,FALSE,"BACK UP Balance FDM";#N/A,#N/A,FALSE,"BACK UP ASP nsad"}</definedName>
    <definedName name="wrn.iDEN._.Back._.up._.Files._2" hidden="1">{#N/A,#N/A,FALSE,"BACK UP Balance FDM";#N/A,#N/A,FALSE,"BACK UP ASP nsad"}</definedName>
    <definedName name="wrn.iDEN._.Back._.up._.Files._3" localSheetId="19" hidden="1">{#N/A,#N/A,FALSE,"BACK UP Balance FDM";#N/A,#N/A,FALSE,"BACK UP ASP nsad"}</definedName>
    <definedName name="wrn.iDEN._.Back._.up._.Files._3" hidden="1">{#N/A,#N/A,FALSE,"BACK UP Balance FDM";#N/A,#N/A,FALSE,"BACK UP ASP nsad"}</definedName>
    <definedName name="wrn.iDEN._.Back._.up._.Files._4" localSheetId="19" hidden="1">{#N/A,#N/A,FALSE,"BACK UP Balance FDM";#N/A,#N/A,FALSE,"BACK UP ASP nsad"}</definedName>
    <definedName name="wrn.iDEN._.Back._.up._.Files._4" hidden="1">{#N/A,#N/A,FALSE,"BACK UP Balance FDM";#N/A,#N/A,FALSE,"BACK UP ASP nsad"}</definedName>
    <definedName name="wrn.iDEN._.Back._.up._.Files._5" localSheetId="19" hidden="1">{#N/A,#N/A,FALSE,"BACK UP Balance FDM";#N/A,#N/A,FALSE,"BACK UP ASP nsad"}</definedName>
    <definedName name="wrn.iDEN._.Back._.up._.Files._5" hidden="1">{#N/A,#N/A,FALSE,"BACK UP Balance FDM";#N/A,#N/A,FALSE,"BACK UP ASP nsad"}</definedName>
    <definedName name="wrn.IDEN._1"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wrn.IDEN._1"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wrn.IDEN._2"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wrn.IDEN._2"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wrn.IDEN._3"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wrn.IDEN._3"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wrn.IDEN._4"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wrn.IDEN._4"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wrn.IDEN._5" localSheetId="19"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wrn.IDEN._5" hidden="1">{#N/A,#N/A,FALSE,"Cover";#N/A,#N/A,FALSE,"Comments IDEN";#N/A,#N/A,FALSE,"BS IDEN";#N/A,#N/A,FALSE,"P&amp;L IDEN";#N/A,#N/A,FALSE,"Cash Flow IDEN";#N/A,#N/A,FALSE,"MBR IDEN";#N/A,#N/A,FALSE,"Headcount - IDEN";#N/A,#N/A,FALSE,"FAB UN IDEN";#N/A,#N/A,FALSE,"IDEN MFG";#N/A,#N/A,FALSE,"IDEN 6-Up Charts  ";#N/A,#N/A,FALSE,"IDEN Inventory";#N/A,#N/A,FALSE,"FM iDEN";#N/A,#N/A,FALSE,"NSAD IDEN";#N/A,#N/A,FALSE,"Capital Expenditures"}</definedName>
    <definedName name="wrn.Input._.pages." localSheetId="19" hidden="1">{"Input1",#N/A,FALSE,"Input";"Input2",#N/A,FALSE,"Input";"Input3",#N/A,FALSE,"Input"}</definedName>
    <definedName name="wrn.Input._.pages." hidden="1">{"Input1",#N/A,FALSE,"Input";"Input2",#N/A,FALSE,"Input";"Input3",#N/A,FALSE,"Input"}</definedName>
    <definedName name="wrn.IR._.Review." localSheetId="19" hidden="1">{"Earnings",#N/A,FALSE,"Earnings";"US EP Earnings",#N/A,FALSE,"US E&amp;P";"CapEx",#N/A,FALSE,"CAPEX Sum";"qtr review for IR",#N/A,FALSE,"Quarters";"EP Summary",#N/A,FALSE,"E&amp;P Summary";"Canada EP Earnings",#N/A,FALSE,"Canada E&amp;P";"Europe EP Earnings",#N/A,FALSE,"Eur E&amp;P";"Other EP Earnings",#N/A,FALSE,"Other Foreign E&amp;P"}</definedName>
    <definedName name="wrn.IR._.Review." hidden="1">{"Earnings",#N/A,FALSE,"Earnings";"US EP Earnings",#N/A,FALSE,"US E&amp;P";"CapEx",#N/A,FALSE,"CAPEX Sum";"qtr review for IR",#N/A,FALSE,"Quarters";"EP Summary",#N/A,FALSE,"E&amp;P Summary";"Canada EP Earnings",#N/A,FALSE,"Canada E&amp;P";"Europe EP Earnings",#N/A,FALSE,"Eur E&amp;P";"Other EP Earnings",#N/A,FALSE,"Other Foreign E&amp;P"}</definedName>
    <definedName name="wrn.Long._.Report." localSheetId="19" hidden="1">{#N/A,#N/A,TRUE,"Cover";#N/A,#N/A,TRUE,"Header (ld)";#N/A,#N/A,TRUE,"T&amp;O By Region";#N/A,#N/A,TRUE,"Region Charts ";#N/A,#N/A,TRUE,"T&amp;O London";#N/A,#N/A,TRUE,"AD Report";#N/A,#N/A,TRUE,"Var by OU"}</definedName>
    <definedName name="wrn.Long._.Report." hidden="1">{#N/A,#N/A,TRUE,"Cover";#N/A,#N/A,TRUE,"Header (ld)";#N/A,#N/A,TRUE,"T&amp;O By Region";#N/A,#N/A,TRUE,"Region Charts ";#N/A,#N/A,TRUE,"T&amp;O London";#N/A,#N/A,TRUE,"AD Report";#N/A,#N/A,TRUE,"Var by OU"}</definedName>
    <definedName name="wrn.MBRS." localSheetId="19" hidden="1">{#N/A,#N/A,FALSE,"MBR PCS";#N/A,#N/A,FALSE,"MBR CIG";#N/A,#N/A,FALSE,"MBR iDEN";#N/A,#N/A,FALSE,"MBR_FWT";#N/A,#N/A,FALSE,"MBR TOTAL"}</definedName>
    <definedName name="wrn.MBRS." hidden="1">{#N/A,#N/A,FALSE,"MBR PCS";#N/A,#N/A,FALSE,"MBR CIG";#N/A,#N/A,FALSE,"MBR iDEN";#N/A,#N/A,FALSE,"MBR_FWT";#N/A,#N/A,FALSE,"MBR TOTAL"}</definedName>
    <definedName name="wrn.MBRS._1" localSheetId="19" hidden="1">{#N/A,#N/A,FALSE,"MBR PCS";#N/A,#N/A,FALSE,"MBR CIG";#N/A,#N/A,FALSE,"MBR iDEN";#N/A,#N/A,FALSE,"MBR_FWT";#N/A,#N/A,FALSE,"MBR TOTAL"}</definedName>
    <definedName name="wrn.MBRS._1" hidden="1">{#N/A,#N/A,FALSE,"MBR PCS";#N/A,#N/A,FALSE,"MBR CIG";#N/A,#N/A,FALSE,"MBR iDEN";#N/A,#N/A,FALSE,"MBR_FWT";#N/A,#N/A,FALSE,"MBR TOTAL"}</definedName>
    <definedName name="wrn.MBRS._2" localSheetId="19" hidden="1">{#N/A,#N/A,FALSE,"MBR PCS";#N/A,#N/A,FALSE,"MBR CIG";#N/A,#N/A,FALSE,"MBR iDEN";#N/A,#N/A,FALSE,"MBR_FWT";#N/A,#N/A,FALSE,"MBR TOTAL"}</definedName>
    <definedName name="wrn.MBRS._2" hidden="1">{#N/A,#N/A,FALSE,"MBR PCS";#N/A,#N/A,FALSE,"MBR CIG";#N/A,#N/A,FALSE,"MBR iDEN";#N/A,#N/A,FALSE,"MBR_FWT";#N/A,#N/A,FALSE,"MBR TOTAL"}</definedName>
    <definedName name="wrn.MBRS._3" localSheetId="19" hidden="1">{#N/A,#N/A,FALSE,"MBR PCS";#N/A,#N/A,FALSE,"MBR CIG";#N/A,#N/A,FALSE,"MBR iDEN";#N/A,#N/A,FALSE,"MBR_FWT";#N/A,#N/A,FALSE,"MBR TOTAL"}</definedName>
    <definedName name="wrn.MBRS._3" hidden="1">{#N/A,#N/A,FALSE,"MBR PCS";#N/A,#N/A,FALSE,"MBR CIG";#N/A,#N/A,FALSE,"MBR iDEN";#N/A,#N/A,FALSE,"MBR_FWT";#N/A,#N/A,FALSE,"MBR TOTAL"}</definedName>
    <definedName name="wrn.MBRS._4" localSheetId="19" hidden="1">{#N/A,#N/A,FALSE,"MBR PCS";#N/A,#N/A,FALSE,"MBR CIG";#N/A,#N/A,FALSE,"MBR iDEN";#N/A,#N/A,FALSE,"MBR_FWT";#N/A,#N/A,FALSE,"MBR TOTAL"}</definedName>
    <definedName name="wrn.MBRS._4" hidden="1">{#N/A,#N/A,FALSE,"MBR PCS";#N/A,#N/A,FALSE,"MBR CIG";#N/A,#N/A,FALSE,"MBR iDEN";#N/A,#N/A,FALSE,"MBR_FWT";#N/A,#N/A,FALSE,"MBR TOTAL"}</definedName>
    <definedName name="wrn.MBRS._5" localSheetId="19" hidden="1">{#N/A,#N/A,FALSE,"MBR PCS";#N/A,#N/A,FALSE,"MBR CIG";#N/A,#N/A,FALSE,"MBR iDEN";#N/A,#N/A,FALSE,"MBR_FWT";#N/A,#N/A,FALSE,"MBR TOTAL"}</definedName>
    <definedName name="wrn.MBRS._5" hidden="1">{#N/A,#N/A,FALSE,"MBR PCS";#N/A,#N/A,FALSE,"MBR CIG";#N/A,#N/A,FALSE,"MBR iDEN";#N/A,#N/A,FALSE,"MBR_FWT";#N/A,#N/A,FALSE,"MBR TOTAL"}</definedName>
    <definedName name="wrn.new." localSheetId="19" hidden="1">{"Balance Sheet",#N/A,FALSE,"Balance";"Balance Sheet Details",#N/A,FALSE,"Balance";"Change in Cash",#N/A,FALSE,"Cashflow"}</definedName>
    <definedName name="wrn.new." hidden="1">{"Balance Sheet",#N/A,FALSE,"Balance";"Balance Sheet Details",#N/A,FALSE,"Balance";"Change in Cash",#N/A,FALSE,"Cashflow"}</definedName>
    <definedName name="wrn.NSS."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NSS."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NSS._1"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NSS._1"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NSS._2"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NSS._2"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NSS._3"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NSS._3"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NSS._4"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NSS._4"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NSS._5"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NSS._5"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Outlook._.Report." localSheetId="19" hidden="1">{#N/A,#N/A,FALSE,"Outlook for Month ";#N/A,#N/A,FALSE,"Risk for Month ";#N/A,#N/A,FALSE,"Upside for Month"}</definedName>
    <definedName name="wrn.Outlook._.Report." hidden="1">{#N/A,#N/A,FALSE,"Outlook for Month ";#N/A,#N/A,FALSE,"Risk for Month ";#N/A,#N/A,FALSE,"Upside for Month"}</definedName>
    <definedName name="wrn.PCS."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PCS."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PCS._1"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PCS._1"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PCS._2"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PCS._2"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PCS._3"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PCS._3"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PCS._4"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PCS._4"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PCS._5"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PCS._5"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PCS_CSG_PPG."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wrn.PCS_CSG_PPG."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wrn.PCS_CSG_PPG._1"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wrn.PCS_CSG_PPG._1"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wrn.PCS_CSG_PPG._2"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wrn.PCS_CSG_PPG._2"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wrn.PCS_CSG_PPG._3"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wrn.PCS_CSG_PPG._3"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wrn.PCS_CSG_PPG._4"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wrn.PCS_CSG_PPG._4"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wrn.PCS_CSG_PPG._5"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wrn.PCS_CSG_PPG._5"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wrn.pppi." localSheetId="19" hidden="1">{"summary",#N/A,FALSE,"summary";"liabsumm",#N/A,FALSE,"liabsumm";"gl",#N/A,FALSE,"gl";"gl2",#N/A,FALSE,"gl2";"exp",#N/A,FALSE,"exp";"pppi_amort",#N/A,FALSE,"pppi_amort";"pppi_apbo_plan",#N/A,FALSE,"pppi_apbo_plan";"recon",#N/A,FALSE,"recon";"eoy_p1",#N/A,FALSE,"eoy_p1";"eoy_p2",#N/A,FALSE,"eoy_p2";"pppi_actliab",#N/A,FALSE,"pppi_actliab";"pppi_inactliab",#N/A,FALSE,"pppi_inactliab"}</definedName>
    <definedName name="wrn.pppi." hidden="1">{"summary",#N/A,FALSE,"summary";"liabsumm",#N/A,FALSE,"liabsumm";"gl",#N/A,FALSE,"gl";"gl2",#N/A,FALSE,"gl2";"exp",#N/A,FALSE,"exp";"pppi_amort",#N/A,FALSE,"pppi_amort";"pppi_apbo_plan",#N/A,FALSE,"pppi_apbo_plan";"recon",#N/A,FALSE,"recon";"eoy_p1",#N/A,FALSE,"eoy_p1";"eoy_p2",#N/A,FALSE,"eoy_p2";"pppi_actliab",#N/A,FALSE,"pppi_actliab";"pppi_inactliab",#N/A,FALSE,"pppi_inactliab"}</definedName>
    <definedName name="wrn.Price._.Details." localSheetId="19" hidden="1">{"WestHem EP Price and Vol Detail",#N/A,FALSE,"West Hemp - Other ";"Eur EP Price and Vol Detail",#N/A,FALSE,"Eur E&amp;P";"EastHem EP Price and Vol Detail",#N/A,FALSE,"East Hemp - Other";"Equity EP Price and Vol Detail",#N/A,FALSE,"Equity Affiliate EP";"Foreign RM Operating Stats",#N/A,FALSE,"Foreign R&amp;M"}</definedName>
    <definedName name="wrn.Price._.Details." hidden="1">{"WestHem EP Price and Vol Detail",#N/A,FALSE,"West Hemp - Other ";"Eur EP Price and Vol Detail",#N/A,FALSE,"Eur E&amp;P";"EastHem EP Price and Vol Detail",#N/A,FALSE,"East Hemp - Other";"Equity EP Price and Vol Detail",#N/A,FALSE,"Equity Affiliate EP";"Foreign RM Operating Stats",#N/A,FALSE,"Foreign R&amp;M"}</definedName>
    <definedName name="wrn.Print." localSheetId="19" hidden="1">{#N/A,#N/A,FALSE,"By Month";#N/A,#N/A,FALSE,"Rev By Month";"Print1",#N/A,FALSE,"NA Parts Reporting";"Print2",#N/A,FALSE,"NA Parts Reporting";"Print3",#N/A,FALSE,"NA Parts Reporting"}</definedName>
    <definedName name="wrn.Print." hidden="1">{#N/A,#N/A,FALSE,"By Month";#N/A,#N/A,FALSE,"Rev By Month";"Print1",#N/A,FALSE,"NA Parts Reporting";"Print2",#N/A,FALSE,"NA Parts Reporting";"Print3",#N/A,FALSE,"NA Parts Reporting"}</definedName>
    <definedName name="wrn.print_all." localSheetId="19" hidden="1">{"Earnings",#N/A,FALSE,"Earnings";"BalanceSheet",#N/A,FALSE,"BalanceSheet";"ChangesinCash",#N/A,FALSE,"CashFlow";"Factsheet",#N/A,FALSE,"Factsheet";"Financial_Ratios",#N/A,FALSE,"CashFlow";"US_ENP_per_Bbl",#N/A,FALSE,"USE&amp;P";"USENP_DCF",#N/A,FALSE,"USE&amp;P";"Eur_ENP_per_Bbl",#N/A,FALSE,"EURE&amp;P";"EURENP_DCF",#N/A,FALSE,"EURE&amp;P";"Can_ENP_per_Bbl",#N/A,FALSE,"CAN&amp;OTHE&amp;P";"Can_ENP_DCF",#N/A,FALSE,"CAN&amp;OTHE&amp;P";"Other_ENP_per_Bbl",#N/A,FALSE,"CAN&amp;OTHE&amp;P";"Other_ENP_DCF",#N/A,FALSE,"CAN&amp;OTHE&amp;P";"Production_Summary",#N/A,FALSE,"E&amp;PSum";"Capital_Expends",#N/A,FALSE,"E&amp;PSum";"US_RNM_Engs",#N/A,FALSE,"USR&amp;M";"US_RNM_Operating_Stats",#N/A,FALSE,"USR&amp;M";"US_RNM_DCF",#N/A,FALSE,"USR&amp;M";"ROW_RNM_Earnings",#N/A,FALSE,"ROWR&amp;M";"ROW_RNM_Operating_Stats",#N/A,FALSE,"ROWR&amp;M";"ROW_RNM_DCF",#N/A,FALSE,"ROWR&amp;M";"Chemicals_Earnings",#N/A,FALSE,"Chemicals";"Benchmark_Price_Assumptions",#N/A,FALSE,"Assumptions";"Net_Asset_Value",#N/A,FALSE,"NAV";"Quarterly_Earnings",#N/A,FALSE,"Quarterly";"ROCE",#N/A,FALSE,"ROCE";"Dupont",#N/A,FALSE,"Dupont"}</definedName>
    <definedName name="wrn.print_all." hidden="1">{"Earnings",#N/A,FALSE,"Earnings";"BalanceSheet",#N/A,FALSE,"BalanceSheet";"ChangesinCash",#N/A,FALSE,"CashFlow";"Factsheet",#N/A,FALSE,"Factsheet";"Financial_Ratios",#N/A,FALSE,"CashFlow";"US_ENP_per_Bbl",#N/A,FALSE,"USE&amp;P";"USENP_DCF",#N/A,FALSE,"USE&amp;P";"Eur_ENP_per_Bbl",#N/A,FALSE,"EURE&amp;P";"EURENP_DCF",#N/A,FALSE,"EURE&amp;P";"Can_ENP_per_Bbl",#N/A,FALSE,"CAN&amp;OTHE&amp;P";"Can_ENP_DCF",#N/A,FALSE,"CAN&amp;OTHE&amp;P";"Other_ENP_per_Bbl",#N/A,FALSE,"CAN&amp;OTHE&amp;P";"Other_ENP_DCF",#N/A,FALSE,"CAN&amp;OTHE&amp;P";"Production_Summary",#N/A,FALSE,"E&amp;PSum";"Capital_Expends",#N/A,FALSE,"E&amp;PSum";"US_RNM_Engs",#N/A,FALSE,"USR&amp;M";"US_RNM_Operating_Stats",#N/A,FALSE,"USR&amp;M";"US_RNM_DCF",#N/A,FALSE,"USR&amp;M";"ROW_RNM_Earnings",#N/A,FALSE,"ROWR&amp;M";"ROW_RNM_Operating_Stats",#N/A,FALSE,"ROWR&amp;M";"ROW_RNM_DCF",#N/A,FALSE,"ROWR&amp;M";"Chemicals_Earnings",#N/A,FALSE,"Chemicals";"Benchmark_Price_Assumptions",#N/A,FALSE,"Assumptions";"Net_Asset_Value",#N/A,FALSE,"NAV";"Quarterly_Earnings",#N/A,FALSE,"Quarterly";"ROCE",#N/A,FALSE,"ROCE";"Dupont",#N/A,FALSE,"Dupont"}</definedName>
    <definedName name="wrn.Printall." localSheetId="19" hidden="1">{"Factsheet",#N/A,FALSE,"Fact";"Earnings",#N/A,FALSE,"Earnings";"BalanceSheet",#N/A,FALSE,"BalanceSheet";"Balance Sheet Details",#N/A,FALSE,"BalanceSheet";"ChangeinCash",#N/A,FALSE,"CashFlow";"UpstrmNormalErngs",#N/A,FALSE,"NormEngUp";"NormalEngs",#N/A,FALSE,"NormalEngs";"NormalGrowth",#N/A,FALSE,"NormalGrowth";"US EP Earnings",#N/A,FALSE,"US E&amp;P";"US EP Price Vol Detail",#N/A,FALSE,"US E&amp;P";"International EP Earnings",#N/A,FALSE,"International E&amp;P";"International EP Price Vol Detail",#N/A,FALSE,"International E&amp;P";"ENPSummary",#N/A,FALSE,"E&amp;P Summary";"GPMEarnings",#N/A,FALSE,"GPM";"RMT Earnings",#N/A,FALSE,"RM&amp;T";"RMT Operating Details",#N/A,FALSE,"RM&amp;T";"Chemicals",#N/A,FALSE,"Chemicals";"CapexSummary",#N/A,FALSE,"CAPEX Sum";"quarterly",#N/A,FALSE,"Quarters";"ROCE",#N/A,FALSE,"ROCE";"NAV",#N/A,FALSE,"NAV";"DCF",#N/A,FALSE,"DCFEVA";"QRating",#N/A,FALSE,"Q-Rating";"Dupont",#N/A,FALSE,"Dupont";"assumptions",#N/A,FALSE,"Assumptions"}</definedName>
    <definedName name="wrn.Printall." hidden="1">{"Factsheet",#N/A,FALSE,"Fact";"Earnings",#N/A,FALSE,"Earnings";"BalanceSheet",#N/A,FALSE,"BalanceSheet";"Balance Sheet Details",#N/A,FALSE,"BalanceSheet";"ChangeinCash",#N/A,FALSE,"CashFlow";"UpstrmNormalErngs",#N/A,FALSE,"NormEngUp";"NormalEngs",#N/A,FALSE,"NormalEngs";"NormalGrowth",#N/A,FALSE,"NormalGrowth";"US EP Earnings",#N/A,FALSE,"US E&amp;P";"US EP Price Vol Detail",#N/A,FALSE,"US E&amp;P";"International EP Earnings",#N/A,FALSE,"International E&amp;P";"International EP Price Vol Detail",#N/A,FALSE,"International E&amp;P";"ENPSummary",#N/A,FALSE,"E&amp;P Summary";"GPMEarnings",#N/A,FALSE,"GPM";"RMT Earnings",#N/A,FALSE,"RM&amp;T";"RMT Operating Details",#N/A,FALSE,"RM&amp;T";"Chemicals",#N/A,FALSE,"Chemicals";"CapexSummary",#N/A,FALSE,"CAPEX Sum";"quarterly",#N/A,FALSE,"Quarters";"ROCE",#N/A,FALSE,"ROCE";"NAV",#N/A,FALSE,"NAV";"DCF",#N/A,FALSE,"DCFEVA";"QRating",#N/A,FALSE,"Q-Rating";"Dupont",#N/A,FALSE,"Dupont";"assumptions",#N/A,FALSE,"Assumptions"}</definedName>
    <definedName name="wrn.PrintIt." localSheetId="19" hidden="1">{"Page1",#N/A,FALSE,"Page1";"Page2",#N/A,FALSE,"Page2";"Page3",#N/A,FALSE,"Pages34";"Page3b",#N/A,FALSE,"Pages34"}</definedName>
    <definedName name="wrn.PrintIt." hidden="1">{"Page1",#N/A,FALSE,"Page1";"Page2",#N/A,FALSE,"Page2";"Page3",#N/A,FALSE,"Pages34";"Page3b",#N/A,FALSE,"Pages34"}</definedName>
    <definedName name="wrn.purch._.acct." localSheetId="19" hidden="1">{"Pre76 purch acct",#N/A,FALSE,"Input";"ACPI purch acct",#N/A,FALSE,"Input";"25 Yr Purch Acct",#N/A,FALSE,"Input";"RBEP Purch Acct.",#N/A,FALSE,"Input"}</definedName>
    <definedName name="wrn.purch._.acct." hidden="1">{"Pre76 purch acct",#N/A,FALSE,"Input";"ACPI purch acct",#N/A,FALSE,"Input";"25 Yr Purch Acct",#N/A,FALSE,"Input";"RBEP Purch Acct.",#N/A,FALSE,"Input"}</definedName>
    <definedName name="wrn.QUARTER." localSheetId="19" hidden="1">{#N/A,#N/A,FALSE,"QTR Total";#N/A,#N/A,FALSE,"QTR ASNS";#N/A,#N/A,FALSE,"QTR PNCNS";#N/A,#N/A,FALSE,"QTR DSNS";#N/A,#N/A,FALSE,"QTR TNS"}</definedName>
    <definedName name="wrn.QUARTER." hidden="1">{#N/A,#N/A,FALSE,"QTR Total";#N/A,#N/A,FALSE,"QTR ASNS";#N/A,#N/A,FALSE,"QTR PNCNS";#N/A,#N/A,FALSE,"QTR DSNS";#N/A,#N/A,FALSE,"QTR TNS"}</definedName>
    <definedName name="wrn.Report." localSheetId="19" hidden="1">{#N/A,#N/A,FALSE,"Work performed";#N/A,#N/A,FALSE,"Resources"}</definedName>
    <definedName name="wrn.Report." localSheetId="13" hidden="1">{#N/A,#N/A,FALSE,"Work performed";#N/A,#N/A,FALSE,"Resources"}</definedName>
    <definedName name="wrn.Report." hidden="1">{#N/A,#N/A,FALSE,"Work performed";#N/A,#N/A,FALSE,"Resources"}</definedName>
    <definedName name="wrn.Revenue._.Analysis." localSheetId="19"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localSheetId="13"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M._.with._.details." localSheetId="19" hidden="1">{"US RM Earnings Summary",#N/A,FALSE,"US R&amp;M";"US RM Realization Data",#N/A,FALSE,"US R&amp;M";"For RM Earnings Detail",#N/A,FALSE,"Foreign R&amp;M";"For RM Real and Vol Detail",#N/A,FALSE,"Foreign R&amp;M"}</definedName>
    <definedName name="wrn.RM._.with._.details." hidden="1">{"US RM Earnings Summary",#N/A,FALSE,"US R&amp;M";"US RM Realization Data",#N/A,FALSE,"US R&amp;M";"For RM Earnings Detail",#N/A,FALSE,"Foreign R&amp;M";"For RM Real and Vol Detail",#N/A,FALSE,"Foreign R&amp;M"}</definedName>
    <definedName name="wrn.RPT." localSheetId="19" hidden="1">{#N/A,#N/A,FALSE,"TOTFINAL";#N/A,#N/A,FALSE,"FINPLAN";#N/A,#N/A,FALSE,"TOTMOTADJ";#N/A,#N/A,FALSE,"tieEQ";#N/A,#N/A,FALSE,"G";#N/A,#N/A,FALSE,"ELIMS";#N/A,#N/A,FALSE,"NEXTEL ADJ";#N/A,#N/A,FALSE,"MIMS";#N/A,#N/A,FALSE,"LMPS";#N/A,#N/A,FALSE,"CNSS";#N/A,#N/A,FALSE,"CSS";#N/A,#N/A,FALSE,"MCG";#N/A,#N/A,FALSE,"AECS";#N/A,#N/A,FALSE,"SPS";#N/A,#N/A,FALSE,"CORP"}</definedName>
    <definedName name="wrn.RPT." hidden="1">{#N/A,#N/A,FALSE,"TOTFINAL";#N/A,#N/A,FALSE,"FINPLAN";#N/A,#N/A,FALSE,"TOTMOTADJ";#N/A,#N/A,FALSE,"tieEQ";#N/A,#N/A,FALSE,"G";#N/A,#N/A,FALSE,"ELIMS";#N/A,#N/A,FALSE,"NEXTEL ADJ";#N/A,#N/A,FALSE,"MIMS";#N/A,#N/A,FALSE,"LMPS";#N/A,#N/A,FALSE,"CNSS";#N/A,#N/A,FALSE,"CSS";#N/A,#N/A,FALSE,"MCG";#N/A,#N/A,FALSE,"AECS";#N/A,#N/A,FALSE,"SPS";#N/A,#N/A,FALSE,"CORP"}</definedName>
    <definedName name="wrn.Short._.Report." localSheetId="19" hidden="1">{#N/A,#N/A,TRUE,"Cover";#N/A,#N/A,TRUE,"Header (eu)";#N/A,#N/A,TRUE,"Region Charts";#N/A,#N/A,TRUE,"T&amp;O By Region";#N/A,#N/A,TRUE,"AD Report"}</definedName>
    <definedName name="wrn.Short._.Report." hidden="1">{#N/A,#N/A,TRUE,"Cover";#N/A,#N/A,TRUE,"Header (eu)";#N/A,#N/A,TRUE,"Region Charts";#N/A,#N/A,TRUE,"T&amp;O By Region";#N/A,#N/A,TRUE,"AD Report"}</definedName>
    <definedName name="wrn.Steves._.Model." localSheetId="19" hidden="1">{#N/A,#N/A,FALSE,"Income Statement";#N/A,#N/A,FALSE,"Quarter IS";#N/A,#N/A,FALSE,"US E&amp;P";#N/A,#N/A,FALSE,"International E&amp;P";#N/A,#N/A,FALSE,"Chemicals"}</definedName>
    <definedName name="wrn.Steves._.Model." hidden="1">{#N/A,#N/A,FALSE,"Income Statement";#N/A,#N/A,FALSE,"Quarter IS";#N/A,#N/A,FALSE,"US E&amp;P";#N/A,#N/A,FALSE,"International E&amp;P";#N/A,#N/A,FALSE,"Chemicals"}</definedName>
    <definedName name="wrn.Summary._.Report_Ern_BS_CF." localSheetId="19" hidden="1">{"Fact Sheet",#N/A,FALSE,"Fact";"Earnings_Summary",#N/A,FALSE,"Earnings Model";"Balance Sheet",#N/A,FALSE,"Balance";"Change in Cash",#N/A,FALSE,"Cashflow";"normalengs",#N/A,FALSE,"NormalEngs";"NormalGrowth",#N/A,FALSE,"NormalGrowth"}</definedName>
    <definedName name="wrn.Summary._.Report_Ern_BS_CF." hidden="1">{"Fact Sheet",#N/A,FALSE,"Fact";"Earnings_Summary",#N/A,FALSE,"Earnings Model";"Balance Sheet",#N/A,FALSE,"Balance";"Change in Cash",#N/A,FALSE,"Cashflow";"normalengs",#N/A,FALSE,"NormalEngs";"NormalGrowth",#N/A,FALSE,"NormalGrowth"}</definedName>
    <definedName name="wrn.Supporting._.Calculations." localSheetId="19" hidden="1">{#N/A,#N/A,FALSE,"Work performed";#N/A,#N/A,FALSE,"Resources"}</definedName>
    <definedName name="wrn.Supporting._.Calculations." localSheetId="13" hidden="1">{#N/A,#N/A,FALSE,"Work performed";#N/A,#N/A,FALSE,"Resources"}</definedName>
    <definedName name="wrn.Supporting._.Calculations." hidden="1">{#N/A,#N/A,FALSE,"Work performed";#N/A,#N/A,FALSE,"Resources"}</definedName>
    <definedName name="wrn.Tax._.Accrual." localSheetId="19" hidden="1">{#N/A,#N/A,TRUE,"TAXPROV";#N/A,#N/A,TRUE,"FLOWTHRU";#N/A,#N/A,TRUE,"SCHEDULE M'S";#N/A,#N/A,TRUE,"PLANT M'S";#N/A,#N/A,TRUE,"TAXJE"}</definedName>
    <definedName name="wrn.Tax._.Accrual." localSheetId="13" hidden="1">{#N/A,#N/A,TRUE,"TAXPROV";#N/A,#N/A,TRUE,"FLOWTHRU";#N/A,#N/A,TRUE,"SCHEDULE M'S";#N/A,#N/A,TRUE,"PLANT M'S";#N/A,#N/A,TRUE,"TAXJE"}</definedName>
    <definedName name="wrn.Tax._.Accrual." hidden="1">{#N/A,#N/A,TRUE,"TAXPROV";#N/A,#N/A,TRUE,"FLOWTHRU";#N/A,#N/A,TRUE,"SCHEDULE M'S";#N/A,#N/A,TRUE,"PLANT M'S";#N/A,#N/A,TRUE,"TAXJE"}</definedName>
    <definedName name="wrn.test." localSheetId="19" hidden="1">{"test",#N/A,FALSE,"Dividend"}</definedName>
    <definedName name="wrn.test." hidden="1">{"test",#N/A,FALSE,"Dividend"}</definedName>
    <definedName name="wrn.US._.EP._.with._.Price._.and._.Vol._.Detail." localSheetId="19" hidden="1">{"US EP Earn and Prof Analysis",#N/A,FALSE,"USE&amp;P ";"US EP Price Vol Detail",#N/A,FALSE,"USE&amp;P "}</definedName>
    <definedName name="wrn.US._.EP._.with._.Price._.and._.Vol._.Detail." hidden="1">{"US EP Earn and Prof Analysis",#N/A,FALSE,"USE&amp;P ";"US EP Price Vol Detail",#N/A,FALSE,"USE&amp;P "}</definedName>
    <definedName name="wrn.Val_Report." localSheetId="19" hidden="1">{"Summary CY",#N/A,FALSE,"Summary";"Summary PY",#N/A,FALSE,"Summary";"recon_funded_status",#N/A,FALSE,"Accounting";"PE",#N/A,FALSE,"Accounting";"EXPE",#N/A,FALSE,"Accounting";"EXPAS",#N/A,FALSE,"Accounting";"EXPL",#N/A,FALSE,"Accounting"}</definedName>
    <definedName name="wrn.Val_Report." hidden="1">{"Summary CY",#N/A,FALSE,"Summary";"Summary PY",#N/A,FALSE,"Summary";"recon_funded_status",#N/A,FALSE,"Accounting";"PE",#N/A,FALSE,"Accounting";"EXPE",#N/A,FALSE,"Accounting";"EXPAS",#N/A,FALSE,"Accounting";"EXPL",#N/A,FALSE,"Accounting"}</definedName>
    <definedName name="wrn.Val_Report.2" localSheetId="19" hidden="1">{"Summary CY",#N/A,FALSE,"Summary";"Summary PY",#N/A,FALSE,"Summary";"recon_funded_status",#N/A,FALSE,"Accounting";"PE",#N/A,FALSE,"Accounting";"EXPE",#N/A,FALSE,"Accounting";"EXPAS",#N/A,FALSE,"Accounting";"EXPL",#N/A,FALSE,"Accounting"}</definedName>
    <definedName name="wrn.Val_Report.2" hidden="1">{"Summary CY",#N/A,FALSE,"Summary";"Summary PY",#N/A,FALSE,"Summary";"recon_funded_status",#N/A,FALSE,"Accounting";"PE",#N/A,FALSE,"Accounting";"EXPE",#N/A,FALSE,"Accounting";"EXPAS",#N/A,FALSE,"Accounting";"EXPL",#N/A,FALSE,"Accounting"}</definedName>
    <definedName name="wrn.Val_Report2" localSheetId="19" hidden="1">{"CUR",#N/A,FALSE,"Summary";"recon",#N/A,FALSE,"Accounting";"PE",#N/A,FALSE,"Accounting";"EXPE",#N/A,FALSE,"Accounting";"EXPAS",#N/A,FALSE,"Accounting";"EXPL",#N/A,FALSE,"Accounting"}</definedName>
    <definedName name="wrn.Val_Report2" hidden="1">{"CUR",#N/A,FALSE,"Summary";"recon",#N/A,FALSE,"Accounting";"PE",#N/A,FALSE,"Accounting";"EXPE",#N/A,FALSE,"Accounting";"EXPAS",#N/A,FALSE,"Accounting";"EXPL",#N/A,FALSE,"Accounting"}</definedName>
    <definedName name="wrn.Workfile." localSheetId="19" hidden="1">{"PPPI FAS87 Workfile",#N/A,FALSE,"Input";"GroupBWorkfile",#N/A,FALSE,"Input";"GroupAWorkfile",#N/A,FALSE,"Input";"GainLoss",#N/A,FALSE,"GainLoss1"}</definedName>
    <definedName name="wrn.Workfile." hidden="1">{"PPPI FAS87 Workfile",#N/A,FALSE,"Input";"GroupBWorkfile",#N/A,FALSE,"Input";"GroupAWorkfile",#N/A,FALSE,"Input";"GainLoss",#N/A,FALSE,"GainLoss1"}</definedName>
    <definedName name="wrn.WorkfileCopies." localSheetId="19" hidden="1">{"PensWorkfile-Dyn",#N/A,TRUE,"Pensions";"PenWorkFile-IP",#N/A,TRUE,"Pensions";"OPEBWorkfile-Dyn",#N/A,TRUE,"OPEB";"OPEBWorkfile-IP",#N/A,TRUE,"OPEB";"Total-Dyn",#N/A,TRUE,"Total";"Total-IP",#N/A,TRUE,"Total"}</definedName>
    <definedName name="wrn.WorkfileCopies." hidden="1">{"PensWorkfile-Dyn",#N/A,TRUE,"Pensions";"PenWorkFile-IP",#N/A,TRUE,"Pensions";"OPEBWorkfile-Dyn",#N/A,TRUE,"OPEB";"OPEBWorkfile-IP",#N/A,TRUE,"OPEB";"Total-Dyn",#N/A,TRUE,"Total";"Total-IP",#N/A,TRUE,"Total"}</definedName>
    <definedName name="wrn_1" localSheetId="19" hidden="1">{#N/A,#N/A,FALSE,"Balance SPS";#N/A,#N/A,FALSE,"P&amp;L_SPS"}</definedName>
    <definedName name="wrn_1" hidden="1">{#N/A,#N/A,FALSE,"Balance SPS";#N/A,#N/A,FALSE,"P&amp;L_SPS"}</definedName>
    <definedName name="wrn_2" localSheetId="19" hidden="1">{#N/A,#N/A,FALSE,"Balance SPS";#N/A,#N/A,FALSE,"P&amp;L_SPS"}</definedName>
    <definedName name="wrn_2" hidden="1">{#N/A,#N/A,FALSE,"Balance SPS";#N/A,#N/A,FALSE,"P&amp;L_SPS"}</definedName>
    <definedName name="wrn_3" localSheetId="19" hidden="1">{#N/A,#N/A,FALSE,"Balance SPS";#N/A,#N/A,FALSE,"P&amp;L_SPS"}</definedName>
    <definedName name="wrn_3" hidden="1">{#N/A,#N/A,FALSE,"Balance SPS";#N/A,#N/A,FALSE,"P&amp;L_SPS"}</definedName>
    <definedName name="wrn_4" localSheetId="19" hidden="1">{#N/A,#N/A,FALSE,"Balance SPS";#N/A,#N/A,FALSE,"P&amp;L_SPS"}</definedName>
    <definedName name="wrn_4" hidden="1">{#N/A,#N/A,FALSE,"Balance SPS";#N/A,#N/A,FALSE,"P&amp;L_SPS"}</definedName>
    <definedName name="wrn_5" localSheetId="19" hidden="1">{#N/A,#N/A,FALSE,"Balance SPS";#N/A,#N/A,FALSE,"P&amp;L_SPS"}</definedName>
    <definedName name="wrn_5" hidden="1">{#N/A,#N/A,FALSE,"Balance SPS";#N/A,#N/A,FALSE,"P&amp;L_SPS"}</definedName>
    <definedName name="wrn1_1" localSheetId="19" hidden="1">{#N/A,#N/A,FALSE,"MBR PCS";#N/A,#N/A,FALSE,"MBR CIG";#N/A,#N/A,FALSE,"MBR iDEN";#N/A,#N/A,FALSE,"MBR_FWT";#N/A,#N/A,FALSE,"MBR TOTAL"}</definedName>
    <definedName name="wrn1_1" hidden="1">{#N/A,#N/A,FALSE,"MBR PCS";#N/A,#N/A,FALSE,"MBR CIG";#N/A,#N/A,FALSE,"MBR iDEN";#N/A,#N/A,FALSE,"MBR_FWT";#N/A,#N/A,FALSE,"MBR TOTAL"}</definedName>
    <definedName name="wrn1_2" localSheetId="19" hidden="1">{#N/A,#N/A,FALSE,"MBR PCS";#N/A,#N/A,FALSE,"MBR CIG";#N/A,#N/A,FALSE,"MBR iDEN";#N/A,#N/A,FALSE,"MBR_FWT";#N/A,#N/A,FALSE,"MBR TOTAL"}</definedName>
    <definedName name="wrn1_2" hidden="1">{#N/A,#N/A,FALSE,"MBR PCS";#N/A,#N/A,FALSE,"MBR CIG";#N/A,#N/A,FALSE,"MBR iDEN";#N/A,#N/A,FALSE,"MBR_FWT";#N/A,#N/A,FALSE,"MBR TOTAL"}</definedName>
    <definedName name="wrn1_3" localSheetId="19" hidden="1">{#N/A,#N/A,FALSE,"MBR PCS";#N/A,#N/A,FALSE,"MBR CIG";#N/A,#N/A,FALSE,"MBR iDEN";#N/A,#N/A,FALSE,"MBR_FWT";#N/A,#N/A,FALSE,"MBR TOTAL"}</definedName>
    <definedName name="wrn1_3" hidden="1">{#N/A,#N/A,FALSE,"MBR PCS";#N/A,#N/A,FALSE,"MBR CIG";#N/A,#N/A,FALSE,"MBR iDEN";#N/A,#N/A,FALSE,"MBR_FWT";#N/A,#N/A,FALSE,"MBR TOTAL"}</definedName>
    <definedName name="wrn1_4" localSheetId="19" hidden="1">{#N/A,#N/A,FALSE,"MBR PCS";#N/A,#N/A,FALSE,"MBR CIG";#N/A,#N/A,FALSE,"MBR iDEN";#N/A,#N/A,FALSE,"MBR_FWT";#N/A,#N/A,FALSE,"MBR TOTAL"}</definedName>
    <definedName name="wrn1_4" hidden="1">{#N/A,#N/A,FALSE,"MBR PCS";#N/A,#N/A,FALSE,"MBR CIG";#N/A,#N/A,FALSE,"MBR iDEN";#N/A,#N/A,FALSE,"MBR_FWT";#N/A,#N/A,FALSE,"MBR TOTAL"}</definedName>
    <definedName name="wrn1_5" localSheetId="19" hidden="1">{#N/A,#N/A,FALSE,"MBR PCS";#N/A,#N/A,FALSE,"MBR CIG";#N/A,#N/A,FALSE,"MBR iDEN";#N/A,#N/A,FALSE,"MBR_FWT";#N/A,#N/A,FALSE,"MBR TOTAL"}</definedName>
    <definedName name="wrn1_5" hidden="1">{#N/A,#N/A,FALSE,"MBR PCS";#N/A,#N/A,FALSE,"MBR CIG";#N/A,#N/A,FALSE,"MBR iDEN";#N/A,#N/A,FALSE,"MBR_FWT";#N/A,#N/A,FALSE,"MBR TOTAL"}</definedName>
    <definedName name="wrn2.report" localSheetId="19" hidden="1">{#N/A,#N/A,FALSE,"P&amp;L";#N/A,#N/A,FALSE,"DL Worksheet";#N/A,#N/A,FALSE,"Ind. Cell";#N/A,#N/A,FALSE,"Capital";#N/A,#N/A,FALSE,"Tooling";#N/A,#N/A,FALSE,"LRP"}</definedName>
    <definedName name="wrn2.report" hidden="1">{#N/A,#N/A,FALSE,"P&amp;L";#N/A,#N/A,FALSE,"DL Worksheet";#N/A,#N/A,FALSE,"Ind. Cell";#N/A,#N/A,FALSE,"Capital";#N/A,#N/A,FALSE,"Tooling";#N/A,#N/A,FALSE,"LRP"}</definedName>
    <definedName name="wrna"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a"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a_1"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a_1"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a_2"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a_2"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a_3"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a_3"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a_4"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a_4"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a_5" localSheetId="19"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a_5" hidden="1">{#N/A,#N/A,FALSE,"Index";#N/A,#N/A,FALSE,"Comments CIG";#N/A,#N/A,FALSE,"Comments IDEN";#N/A,#N/A,FALSE,"BS CIG";#N/A,#N/A,FALSE,"BS IDEN";#N/A,#N/A,FALSE,"P&amp;L CIG";#N/A,#N/A,FALSE,"P&amp;L FWT";#N/A,#N/A,FALSE,"P&amp;L IDEN";#N/A,#N/A,FALSE,"Cash Flow CIG";#N/A,#N/A,FALSE,"Cash Flow IDEN";#N/A,#N/A,FALSE,"MBR CIG";#N/A,#N/A,FALSE,"MBR iDEN";#N/A,#N/A,FALSE,"MBR_FWT";#N/A,#N/A,FALSE,"Headcount CIG";#N/A,#N/A,FALSE,"Headcount iDEN";#N/A,#N/A,FALSE,"FAB UN IDEN";#N/A,#N/A,FALSE,"FAB UN FWT";#N/A,#N/A,FALSE,"CIG MFG";#N/A,#N/A,FALSE,"IDEN MFG";#N/A,#N/A,FALSE,"IDEN 6-Up Charts  ";#N/A,#N/A,FALSE,"FWT MFG";#N/A,#N/A,FALSE,"FWT 6-Up Charts ";#N/A,#N/A,FALSE,"IDEN Inventory";#N/A,#N/A,FALSE,"CIG Inventory";#N/A,#N/A,FALSE,"Capital Expenditures";#N/A,#N/A,FALSE,"FM CIG";#N/A,#N/A,FALSE,"NSAD ASP CIG";#N/A,#N/A,FALSE,"FM iDEN";#N/A,#N/A,FALSE,"NSAD IDEN";#N/A,#N/A,FALSE,"IDEN Mrg Analysis";#N/A,#N/A,FALSE,"R&amp;D  Report";#N/A,#N/A,FALSE,"Mrg A. iDEN"}</definedName>
    <definedName name="wrnc"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c"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c_1"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c_1"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c_2"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c_2"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c_3"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c_3"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c_4"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c_4"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c_5" localSheetId="19"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c_5" hidden="1">{#N/A,#N/A,FALSE,"Comments PCS";#N/A,#N/A,FALSE,"BS PCS";#N/A,#N/A,FALSE,"P&amp;L PCS";#N/A,#N/A,FALSE,"Cash Flow PCS";#N/A,#N/A,FALSE,"MBR PCS";#N/A,#N/A,FALSE,"Headcount PCS";#N/A,#N/A,FALSE,"FAB UN CSG ";#N/A,#N/A,FALSE,"FAB UN PPG";#N/A,#N/A,FALSE,"CSS MFG";#N/A,#N/A,FALSE,"CSS Distr";#N/A,#N/A,FALSE,"CSG 6-Up Charts";#N/A,#N/A,FALSE,"PCS Inventory";#N/A,#N/A,FALSE,"Capital Expenditures";#N/A,#N/A,FALSE,"FM CSG";#N/A,#N/A,FALSE,"NSAD ASP CGS";#N/A,#N/A,FALSE,"R&amp;D  Report";#N/A,#N/A,FALSE,"CSG Mrg Analysis";#N/A,#N/A,FALSE,"PCS Credit"}</definedName>
    <definedName name="wrne" localSheetId="19" hidden="1">{#N/A,#N/A,FALSE,"Headcount_PCS ";#N/A,#N/A,FALSE,"Headcount CIG";#N/A,#N/A,FALSE,"Headcount iDEN";#N/A,#N/A,FALSE,"JAG PLANT TREND"}</definedName>
    <definedName name="wrne" hidden="1">{#N/A,#N/A,FALSE,"Headcount_PCS ";#N/A,#N/A,FALSE,"Headcount CIG";#N/A,#N/A,FALSE,"Headcount iDEN";#N/A,#N/A,FALSE,"JAG PLANT TREND"}</definedName>
    <definedName name="wrne_1" localSheetId="19" hidden="1">{#N/A,#N/A,FALSE,"Headcount_PCS ";#N/A,#N/A,FALSE,"Headcount CIG";#N/A,#N/A,FALSE,"Headcount iDEN";#N/A,#N/A,FALSE,"JAG PLANT TREND"}</definedName>
    <definedName name="wrne_1" hidden="1">{#N/A,#N/A,FALSE,"Headcount_PCS ";#N/A,#N/A,FALSE,"Headcount CIG";#N/A,#N/A,FALSE,"Headcount iDEN";#N/A,#N/A,FALSE,"JAG PLANT TREND"}</definedName>
    <definedName name="wrne_2" localSheetId="19" hidden="1">{#N/A,#N/A,FALSE,"Headcount_PCS ";#N/A,#N/A,FALSE,"Headcount CIG";#N/A,#N/A,FALSE,"Headcount iDEN";#N/A,#N/A,FALSE,"JAG PLANT TREND"}</definedName>
    <definedName name="wrne_2" hidden="1">{#N/A,#N/A,FALSE,"Headcount_PCS ";#N/A,#N/A,FALSE,"Headcount CIG";#N/A,#N/A,FALSE,"Headcount iDEN";#N/A,#N/A,FALSE,"JAG PLANT TREND"}</definedName>
    <definedName name="wrne_3" localSheetId="19" hidden="1">{#N/A,#N/A,FALSE,"Headcount_PCS ";#N/A,#N/A,FALSE,"Headcount CIG";#N/A,#N/A,FALSE,"Headcount iDEN";#N/A,#N/A,FALSE,"JAG PLANT TREND"}</definedName>
    <definedName name="wrne_3" hidden="1">{#N/A,#N/A,FALSE,"Headcount_PCS ";#N/A,#N/A,FALSE,"Headcount CIG";#N/A,#N/A,FALSE,"Headcount iDEN";#N/A,#N/A,FALSE,"JAG PLANT TREND"}</definedName>
    <definedName name="wrne_4" localSheetId="19" hidden="1">{#N/A,#N/A,FALSE,"Headcount_PCS ";#N/A,#N/A,FALSE,"Headcount CIG";#N/A,#N/A,FALSE,"Headcount iDEN";#N/A,#N/A,FALSE,"JAG PLANT TREND"}</definedName>
    <definedName name="wrne_4" hidden="1">{#N/A,#N/A,FALSE,"Headcount_PCS ";#N/A,#N/A,FALSE,"Headcount CIG";#N/A,#N/A,FALSE,"Headcount iDEN";#N/A,#N/A,FALSE,"JAG PLANT TREND"}</definedName>
    <definedName name="wrne_5" localSheetId="19" hidden="1">{#N/A,#N/A,FALSE,"Headcount_PCS ";#N/A,#N/A,FALSE,"Headcount CIG";#N/A,#N/A,FALSE,"Headcount iDEN";#N/A,#N/A,FALSE,"JAG PLANT TREND"}</definedName>
    <definedName name="wrne_5" hidden="1">{#N/A,#N/A,FALSE,"Headcount_PCS ";#N/A,#N/A,FALSE,"Headcount CIG";#N/A,#N/A,FALSE,"Headcount iDEN";#N/A,#N/A,FALSE,"JAG PLANT TREND"}</definedName>
    <definedName name="wsxxx" localSheetId="19" hidden="1">{#N/A,#N/A,FALSE,"Total";#N/A,#N/A,FALSE,"ASNS";#N/A,#N/A,FALSE,"PNCNS";#N/A,#N/A,FALSE,"DSNS";#N/A,#N/A,FALSE,"TNS"}</definedName>
    <definedName name="wsxxx" hidden="1">{#N/A,#N/A,FALSE,"Total";#N/A,#N/A,FALSE,"ASNS";#N/A,#N/A,FALSE,"PNCNS";#N/A,#N/A,FALSE,"DSNS";#N/A,#N/A,FALSE,"TNS"}</definedName>
    <definedName name="wsxxxx" localSheetId="19" hidden="1">{#N/A,#N/A,FALSE,"QTR Total";#N/A,#N/A,FALSE,"QTR ASNS";#N/A,#N/A,FALSE,"QTR PNCNS";#N/A,#N/A,FALSE,"QTR DSNS";#N/A,#N/A,FALSE,"QTR TNS"}</definedName>
    <definedName name="wsxxxx" hidden="1">{#N/A,#N/A,FALSE,"QTR Total";#N/A,#N/A,FALSE,"QTR ASNS";#N/A,#N/A,FALSE,"QTR PNCNS";#N/A,#N/A,FALSE,"QTR DSNS";#N/A,#N/A,FALSE,"QTR TNS"}</definedName>
    <definedName name="wvu.Assumptions." localSheetId="19" hidden="1">{TRUE,TRUE,-1.25,-15.5,484.5,253.5,FALSE,FALSE,TRUE,TRUE,0,1,#N/A,1,3,14.8947368421053,2,3,FALSE,TRUE,3,TRUE,1,TRUE,80,"Swvu.Assumptions.","ACwvu.Assumptions.",#N/A,FALSE,FALSE,0.65,0.5,1.25,1,1,"","",TRUE,FALSE,FALSE,FALSE,1,#N/A,1,1,"=R1C1:R64C13",FALSE,"Rwvu.Assumptions.",#N/A,FALSE,FALSE,FALSE,1,#N/A,#N/A,FALSE,FALSE,TRUE,TRUE,TRUE}</definedName>
    <definedName name="wvu.Assumptions." hidden="1">{TRUE,TRUE,-1.25,-15.5,484.5,253.5,FALSE,FALSE,TRUE,TRUE,0,1,#N/A,1,3,14.8947368421053,2,3,FALSE,TRUE,3,TRUE,1,TRUE,80,"Swvu.Assumptions.","ACwvu.Assumptions.",#N/A,FALSE,FALSE,0.65,0.5,1.25,1,1,"","",TRUE,FALSE,FALSE,FALSE,1,#N/A,1,1,"=R1C1:R64C13",FALSE,"Rwvu.Assumptions.",#N/A,FALSE,FALSE,FALSE,1,#N/A,#N/A,FALSE,FALSE,TRUE,TRUE,TRUE}</definedName>
    <definedName name="wvu.capexsum." localSheetId="19" hidden="1">{TRUE,TRUE,-1.25,-15.5,604.5,343.5,FALSE,FALSE,TRUE,TRUE,0,1,2,1,4,1,3,4,TRUE,TRUE,3,TRUE,1,TRUE,85,"Swvu.capexsum.","ACwvu.capexsum.",#N/A,FALSE,FALSE,0.75,0.75,1,1,2,"","",TRUE,FALSE,FALSE,FALSE,1,100,#N/A,#N/A,"=R1C1:R24C12",FALSE,#N/A,#N/A,FALSE,FALSE,FALSE,1,#N/A,#N/A,FALSE,FALSE,TRUE,TRUE,TRUE}</definedName>
    <definedName name="wvu.capexsum." hidden="1">{TRUE,TRUE,-1.25,-15.5,604.5,343.5,FALSE,FALSE,TRUE,TRUE,0,1,2,1,4,1,3,4,TRUE,TRUE,3,TRUE,1,TRUE,85,"Swvu.capexsum.","ACwvu.capexsum.",#N/A,FALSE,FALSE,0.75,0.75,1,1,2,"","",TRUE,FALSE,FALSE,FALSE,1,100,#N/A,#N/A,"=R1C1:R24C12",FALSE,#N/A,#N/A,FALSE,FALSE,FALSE,1,#N/A,#N/A,FALSE,FALSE,TRUE,TRUE,TRUE}</definedName>
    <definedName name="wvu.earnings." localSheetId="19" hidden="1">{TRUE,TRUE,-1.25,-15.5,604.5,343.5,FALSE,FALSE,TRUE,TRUE,0,1,2,1,5,1,4,4,TRUE,TRUE,3,TRUE,1,TRUE,85,"Swvu.earnings.","ACwvu.earnings.",#N/A,FALSE,FALSE,0.75,0.75,1,1,2,"","",TRUE,FALSE,FALSE,FALSE,1,#N/A,1,1,"=R1C1:R39C12",FALSE,#N/A,#N/A,FALSE,FALSE,FALSE,1,#N/A,#N/A,FALSE,FALSE,TRUE,TRUE,TRUE}</definedName>
    <definedName name="wvu.earnings." hidden="1">{TRUE,TRUE,-1.25,-15.5,604.5,343.5,FALSE,FALSE,TRUE,TRUE,0,1,2,1,5,1,4,4,TRUE,TRUE,3,TRUE,1,TRUE,85,"Swvu.earnings.","ACwvu.earnings.",#N/A,FALSE,FALSE,0.75,0.75,1,1,2,"","",TRUE,FALSE,FALSE,FALSE,1,#N/A,1,1,"=R1C1:R39C12",FALSE,#N/A,#N/A,FALSE,FALSE,FALSE,1,#N/A,#N/A,FALSE,FALSE,TRUE,TRUE,TRUE}</definedName>
    <definedName name="wvu.foreign._.oil._.and._.gas._.results." localSheetId="19" hidden="1">{TRUE,TRUE,-1.25,-15.5,604.5,343.5,FALSE,FALSE,TRUE,TRUE,0,1,#N/A,1,4,14.1666666666667,3,3,FALSE,TRUE,3,TRUE,1,TRUE,85,"Swvu.foreign._.oil._.and._.gas._.results.","ACwvu.foreign._.oil._.and._.gas._.results.",#N/A,FALSE,FALSE,0.75,0.75,1,1,1,"","",TRUE,FALSE,FALSE,FALSE,1,#N/A,1,1,"=R1C1:R56C11","=R1:R3",#N/A,#N/A,FALSE,FALSE,FALSE,1,#N/A,#N/A,FALSE,FALSE,TRUE,TRUE,TRUE}</definedName>
    <definedName name="wvu.foreign._.oil._.and._.gas._.results." hidden="1">{TRUE,TRUE,-1.25,-15.5,604.5,343.5,FALSE,FALSE,TRUE,TRUE,0,1,#N/A,1,4,14.1666666666667,3,3,FALSE,TRUE,3,TRUE,1,TRUE,85,"Swvu.foreign._.oil._.and._.gas._.results.","ACwvu.foreign._.oil._.and._.gas._.results.",#N/A,FALSE,FALSE,0.75,0.75,1,1,1,"","",TRUE,FALSE,FALSE,FALSE,1,#N/A,1,1,"=R1C1:R56C11","=R1:R3",#N/A,#N/A,FALSE,FALSE,FALSE,1,#N/A,#N/A,FALSE,FALSE,TRUE,TRUE,TRUE}</definedName>
    <definedName name="wvu.normal._.growth." localSheetId="19" hidden="1">{TRUE,TRUE,-1.25,-15.5,604.5,343.5,FALSE,FALSE,TRUE,TRUE,0,1,#N/A,1,#N/A,11.0357142857143,23.5294117647059,1,FALSE,FALSE,3,TRUE,1,FALSE,100,"Swvu.normal._.growth.","ACwvu.normal._.growth.",#N/A,FALSE,FALSE,0.75,0.75,1,1,1,"","",TRUE,FALSE,FALSE,FALSE,1,#N/A,1,1,"=R1C1:R20C3",FALSE,#N/A,#N/A,FALSE,FALSE,FALSE,1,#N/A,#N/A,FALSE,FALSE,TRUE,TRUE,TRUE}</definedName>
    <definedName name="wvu.normal._.growth." hidden="1">{TRUE,TRUE,-1.25,-15.5,604.5,343.5,FALSE,FALSE,TRUE,TRUE,0,1,#N/A,1,#N/A,11.0357142857143,23.5294117647059,1,FALSE,FALSE,3,TRUE,1,FALSE,100,"Swvu.normal._.growth.","ACwvu.normal._.growth.",#N/A,FALSE,FALSE,0.75,0.75,1,1,1,"","",TRUE,FALSE,FALSE,FALSE,1,#N/A,1,1,"=R1C1:R20C3",FALSE,#N/A,#N/A,FALSE,FALSE,FALSE,1,#N/A,#N/A,FALSE,FALSE,TRUE,TRUE,TRUE}</definedName>
    <definedName name="wvu.oil._.and._.gas._.details." localSheetId="19" hidden="1">{TRUE,TRUE,-1.25,-15.5,604.5,343.5,FALSE,FALSE,TRUE,TRUE,0,1,#N/A,1,35,14.1666666666667,3,3,FALSE,TRUE,3,TRUE,1,TRUE,85,"Swvu.oil._.and._.gas._.details.","ACwvu.oil._.and._.gas._.details.",#N/A,FALSE,FALSE,0.75,0.75,1,1,1,"","",TRUE,FALSE,FALSE,FALSE,1,#N/A,1,1,"=R1C1:R59C11","=R1:R3",#N/A,#N/A,FALSE,FALSE,FALSE,1,#N/A,#N/A,FALSE,FALSE,TRUE,TRUE,TRUE}</definedName>
    <definedName name="wvu.oil._.and._.gas._.details." hidden="1">{TRUE,TRUE,-1.25,-15.5,604.5,343.5,FALSE,FALSE,TRUE,TRUE,0,1,#N/A,1,35,14.1666666666667,3,3,FALSE,TRUE,3,TRUE,1,TRUE,85,"Swvu.oil._.and._.gas._.details.","ACwvu.oil._.and._.gas._.details.",#N/A,FALSE,FALSE,0.75,0.75,1,1,1,"","",TRUE,FALSE,FALSE,FALSE,1,#N/A,1,1,"=R1C1:R59C11","=R1:R3",#N/A,#N/A,FALSE,FALSE,FALSE,1,#N/A,#N/A,FALSE,FALSE,TRUE,TRUE,TRUE}</definedName>
    <definedName name="wvu.qtr._.earnings._.model." localSheetId="19" hidden="1">{TRUE,TRUE,-1.25,-15.5,604.5,343.5,FALSE,FALSE,TRUE,TRUE,0,1,5,1,5,1,4,4,TRUE,TRUE,3,TRUE,1,TRUE,80,"Swvu.qtr._.earnings._.model.","ACwvu.qtr._.earnings._.model.",#N/A,FALSE,FALSE,0.65,0.5,1.25,1,2,"","",TRUE,FALSE,FALSE,FALSE,1,#N/A,1,1,"=R1C1:R36C16",FALSE,#N/A,#N/A,FALSE,FALSE,FALSE,1,#N/A,#N/A,FALSE,FALSE,TRUE,TRUE,TRUE}</definedName>
    <definedName name="wvu.qtr._.earnings._.model." hidden="1">{TRUE,TRUE,-1.25,-15.5,604.5,343.5,FALSE,FALSE,TRUE,TRUE,0,1,5,1,5,1,4,4,TRUE,TRUE,3,TRUE,1,TRUE,80,"Swvu.qtr._.earnings._.model.","ACwvu.qtr._.earnings._.model.",#N/A,FALSE,FALSE,0.65,0.5,1.25,1,2,"","",TRUE,FALSE,FALSE,FALSE,1,#N/A,1,1,"=R1C1:R36C16",FALSE,#N/A,#N/A,FALSE,FALSE,FALSE,1,#N/A,#N/A,FALSE,FALSE,TRUE,TRUE,TRUE}</definedName>
    <definedName name="wvu.qtr._.for._.IR." localSheetId="19" hidden="1">{TRUE,TRUE,-1.25,-15.5,604.5,343.5,FALSE,FALSE,TRUE,TRUE,0,1,2,1,13,1,4,4,TRUE,TRUE,3,TRUE,1,TRUE,80,"Swvu.qtr._.for._.IR.","ACwvu.qtr._.for._.IR.",#N/A,FALSE,FALSE,0.65,0.5,1.25,1,2,"","",TRUE,FALSE,FALSE,FALSE,1,#N/A,1,1,"=R1C1:R33C11",FALSE,#N/A,#N/A,FALSE,FALSE,FALSE,1,#N/A,#N/A,FALSE,FALSE,TRUE,TRUE,TRUE}</definedName>
    <definedName name="wvu.qtr._.for._.IR." hidden="1">{TRUE,TRUE,-1.25,-15.5,604.5,343.5,FALSE,FALSE,TRUE,TRUE,0,1,2,1,13,1,4,4,TRUE,TRUE,3,TRUE,1,TRUE,80,"Swvu.qtr._.for._.IR.","ACwvu.qtr._.for._.IR.",#N/A,FALSE,FALSE,0.65,0.5,1.25,1,2,"","",TRUE,FALSE,FALSE,FALSE,1,#N/A,1,1,"=R1C1:R33C11",FALSE,#N/A,#N/A,FALSE,FALSE,FALSE,1,#N/A,#N/A,FALSE,FALSE,TRUE,TRUE,TRUE}</definedName>
    <definedName name="wvu.Table." localSheetId="19" hidden="1">{TRUE,TRUE,-1.25,-21.5,964.5,725.25,FALSE,FALSE,TRUE,FALSE,35,3,22,1,#N/A,14.0676691729323,49.5294117647059,1,TRUE,FALSE,3,FALSE,1,FALSE,100,"Swvu.Table.","ACwvu.Table.",#N/A,FALSE,FALSE,0.75,0.75,1,1,1,"&amp;A","Page &amp;P",FALSE,FALSE,FALSE,FALSE,1,70,#N/A,#N/A,FALSE,FALSE,"Rwvu.Table.",#N/A,FALSE,FALSE,TRUE,1,65532,65532,FALSE,FALSE,FALSE,FALSE,FALSE}</definedName>
    <definedName name="wvu.Table." hidden="1">{TRUE,TRUE,-1.25,-21.5,964.5,725.25,FALSE,FALSE,TRUE,FALSE,35,3,22,1,#N/A,14.0676691729323,49.5294117647059,1,TRUE,FALSE,3,FALSE,1,FALSE,100,"Swvu.Table.","ACwvu.Table.",#N/A,FALSE,FALSE,0.75,0.75,1,1,1,"&amp;A","Page &amp;P",FALSE,FALSE,FALSE,FALSE,1,70,#N/A,#N/A,FALSE,FALSE,"Rwvu.Table.",#N/A,FALSE,FALSE,TRUE,1,65532,65532,FALSE,FALSE,FALSE,FALSE,FALSE}</definedName>
    <definedName name="Xcel">'[11]Data Entry and Forecaster'!#REF!</definedName>
    <definedName name="Xcel_COS" localSheetId="19">#REF!</definedName>
    <definedName name="Xcel_COS">#REF!</definedName>
    <definedName name="XREF_COLUMN_1" hidden="1">'[12]p.anticipados '!#REF!</definedName>
    <definedName name="XREF_COLUMN_2" hidden="1">'[12]p.anticipados '!#REF!</definedName>
    <definedName name="XREF_COLUMN_3" hidden="1">'[12]p.anticipados '!#REF!</definedName>
    <definedName name="XREF_COLUMN_4" hidden="1">'[12]p.anticipados '!#REF!</definedName>
    <definedName name="XREF_COLUMN_5" hidden="1">'[12]p.anticipados '!#REF!</definedName>
    <definedName name="XRefActiveRow" hidden="1">#REF!</definedName>
    <definedName name="XRefColumnsCount" hidden="1">5</definedName>
    <definedName name="XRefCopy1" hidden="1">'[12]p.anticipados '!#REF!</definedName>
    <definedName name="XRefCopy1Row" hidden="1">#REF!</definedName>
    <definedName name="XRefCopy2" hidden="1">'[12]p.anticipados '!#REF!</definedName>
    <definedName name="XRefCopy2Row" hidden="1">#REF!</definedName>
    <definedName name="XRefCopy3" hidden="1">'[12]p.anticipados '!#REF!</definedName>
    <definedName name="XRefCopy3Row" hidden="1">#REF!</definedName>
    <definedName name="XRefCopy4" hidden="1">'[12]p.anticipados '!#REF!</definedName>
    <definedName name="XRefCopy4Row" hidden="1">#REF!</definedName>
    <definedName name="XRefCopy5" hidden="1">'[12]p.anticipados '!#REF!</definedName>
    <definedName name="XRefCopy5Row" hidden="1">#REF!</definedName>
    <definedName name="XRefCopy6" hidden="1">'[12]p.anticipados '!#REF!</definedName>
    <definedName name="XRefCopy6Row" hidden="1">#REF!</definedName>
    <definedName name="XRefCopy7" hidden="1">#REF!</definedName>
    <definedName name="XRefCopy7Row" hidden="1">#REF!</definedName>
    <definedName name="XRefCopyRangeCount" hidden="1">6</definedName>
    <definedName name="XRefPaste1" hidden="1">'[12]p.anticipados '!#REF!</definedName>
    <definedName name="XRefPaste10" hidden="1">'[12]p.anticipados '!#REF!</definedName>
    <definedName name="XRefPaste10Row" hidden="1">#REF!</definedName>
    <definedName name="XRefPaste11" hidden="1">'[12]p.anticipados '!#REF!</definedName>
    <definedName name="XRefPaste11Row" hidden="1">#REF!</definedName>
    <definedName name="XRefPaste12" hidden="1">'[12]p.anticipados '!#REF!</definedName>
    <definedName name="XRefPaste12Row" hidden="1">#REF!</definedName>
    <definedName name="XRefPaste13" hidden="1">'[12]p.anticipados '!#REF!</definedName>
    <definedName name="XRefPaste13Row" hidden="1">#REF!</definedName>
    <definedName name="XRefPaste14" hidden="1">'[12]p.anticipados '!#REF!</definedName>
    <definedName name="XRefPaste14Row" hidden="1">#REF!</definedName>
    <definedName name="XRefPaste15" hidden="1">'[12]p.anticipados '!#REF!</definedName>
    <definedName name="XRefPaste15Row" hidden="1">#REF!</definedName>
    <definedName name="XRefPaste1Row" hidden="1">#REF!</definedName>
    <definedName name="XRefPaste2" hidden="1">'[12]p.anticipados '!#REF!</definedName>
    <definedName name="XRefPaste2Row" hidden="1">#REF!</definedName>
    <definedName name="XRefPaste3Row" hidden="1">#REF!</definedName>
    <definedName name="XRefPaste4" hidden="1">'[12]p.anticipados '!#REF!</definedName>
    <definedName name="XRefPaste4Row" hidden="1">#REF!</definedName>
    <definedName name="XRefPaste5Row" hidden="1">#REF!</definedName>
    <definedName name="XRefPaste6" hidden="1">'[12]p.anticipados '!#REF!</definedName>
    <definedName name="XRefPaste6Row" hidden="1">#REF!</definedName>
    <definedName name="XRefPaste7" hidden="1">'[12]p.anticipados '!#REF!</definedName>
    <definedName name="XRefPaste7Row" hidden="1">#REF!</definedName>
    <definedName name="XRefPaste8" hidden="1">'[12]p.anticipados '!#REF!</definedName>
    <definedName name="XRefPaste8Row" hidden="1">#REF!</definedName>
    <definedName name="XRefPaste9" hidden="1">'[12]p.anticipados '!#REF!</definedName>
    <definedName name="XRefPaste9Row" hidden="1">#REF!</definedName>
    <definedName name="XRefPasteRangeCount" hidden="1">15</definedName>
    <definedName name="xxx" localSheetId="19" hidden="1">{#N/A,#N/A,FALSE,"O&amp;M by processes";#N/A,#N/A,FALSE,"Elec Act vs Bud";#N/A,#N/A,FALSE,"G&amp;A";#N/A,#N/A,FALSE,"BGS";#N/A,#N/A,FALSE,"Res Cost"}</definedName>
    <definedName name="xxx" localSheetId="13" hidden="1">{#N/A,#N/A,FALSE,"O&amp;M by processes";#N/A,#N/A,FALSE,"Elec Act vs Bud";#N/A,#N/A,FALSE,"G&amp;A";#N/A,#N/A,FALSE,"BGS";#N/A,#N/A,FALSE,"Res Cost"}</definedName>
    <definedName name="xxx" hidden="1">{#N/A,#N/A,FALSE,"O&amp;M by processes";#N/A,#N/A,FALSE,"Elec Act vs Bud";#N/A,#N/A,FALSE,"G&amp;A";#N/A,#N/A,FALSE,"BGS";#N/A,#N/A,FALSE,"Res Cost"}</definedName>
    <definedName name="xxxx" localSheetId="19" hidden="1">{#N/A,#N/A,FALSE,"O&amp;M by processes";#N/A,#N/A,FALSE,"Elec Act vs Bud";#N/A,#N/A,FALSE,"G&amp;A";#N/A,#N/A,FALSE,"BGS";#N/A,#N/A,FALSE,"Res Cost"}</definedName>
    <definedName name="xxxx" localSheetId="13" hidden="1">{#N/A,#N/A,FALSE,"O&amp;M by processes";#N/A,#N/A,FALSE,"Elec Act vs Bud";#N/A,#N/A,FALSE,"G&amp;A";#N/A,#N/A,FALSE,"BGS";#N/A,#N/A,FALSE,"Res Cost"}</definedName>
    <definedName name="xxxx" hidden="1">{#N/A,#N/A,FALSE,"O&amp;M by processes";#N/A,#N/A,FALSE,"Elec Act vs Bud";#N/A,#N/A,FALSE,"G&amp;A";#N/A,#N/A,FALSE,"BGS";#N/A,#N/A,FALSE,"Res Cost"}</definedName>
    <definedName name="xxxxxx"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xxxxxx"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xxxxxx_1"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xxxxxx_1"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xxxxxx_2"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xxxxxx_2"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xxxxxx_3"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xxxxxx_3"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xxxxxx_4"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xxxxxx_4"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xxxxxx_5" localSheetId="19"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xxxxxx_5" hidden="1">{#N/A,#N/A,FALSE,"Cover";#N/A,#N/A,FALSE,"Comments CIG";#N/A,#N/A,FALSE,"BS CIG";#N/A,#N/A,FALSE,"P&amp;L CIG";#N/A,#N/A,FALSE,"Cash Flow CIG";#N/A,#N/A,FALSE,"MBR CIG";#N/A,#N/A,FALSE,"Headcount - CIG";#N/A,#N/A,FALSE,"FAB UN CIG";#N/A,#N/A,FALSE,"CIG MFG";#N/A,#N/A,FALSE,"CIG Inventory";#N/A,#N/A,FALSE,"FM CIG";#N/A,#N/A,FALSE,"NSAD ASP CIG";#N/A,#N/A,FALSE,"Capital Expenditures"}</definedName>
    <definedName name="y_1"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y_1"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y_2"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y_2"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y_3"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y_3"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y_4"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y_4"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y_5" localSheetId="19"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y_5" hidden="1">{#N/A,#N/A,FALSE,"Cover";#N/A,#N/A,FALSE,"Comments CSS";#N/A,#N/A,FALSE,"Comments PPG";#N/A,#N/A,FALSE,"BS CSS";#N/A,#N/A,FALSE,"P&amp;L CSS";#N/A,#N/A,FALSE,"BS PPG";#N/A,#N/A,FALSE,"P&amp;L PPG";#N/A,#N/A,FALSE,"Cash Flow CSS";#N/A,#N/A,FALSE,"Cash Flow PPG";#N/A,#N/A,FALSE,"MBR CSS";#N/A,#N/A,FALSE,"MBR PPG";#N/A,#N/A,FALSE,"Headcount - CSS";#N/A,#N/A,FALSE,"Headcount - PPG";#N/A,#N/A,FALSE,"FAB UN CSS";#N/A,#N/A,FALSE,"FAB UN PPG";#N/A,#N/A,FALSE,"CSS MFG";#N/A,#N/A,FALSE,"CSS Distr ";#N/A,#N/A,FALSE,"CSS 6-Up Charts";#N/A,#N/A,FALSE,"PPG MFG";#N/A,#N/A,FALSE,"PPG 6-Up Charts ";#N/A,#N/A,FALSE,"CSS Inventory";#N/A,#N/A,FALSE,"PPG Inventory";#N/A,#N/A,FALSE,"FM CSS";#N/A,#N/A,FALSE,"NSAD ASP CSS";#N/A,#N/A,FALSE,"Capital Expenditures";#N/A,#N/A,FALSE,"R&amp;D  Report"}</definedName>
    <definedName name="yrtyretyreyt" localSheetId="19" hidden="1">{TRUE,TRUE,-1.25,-15.5,604.5,343.5,FALSE,FALSE,TRUE,TRUE,0,1,2,1,4,1,3,4,TRUE,TRUE,3,TRUE,1,TRUE,85,"Swvu.capexsum.","ACwvu.capexsum.",#N/A,FALSE,FALSE,0.75,0.75,1,1,2,"","",TRUE,FALSE,FALSE,FALSE,1,100,#N/A,#N/A,"=R1C1:R24C12",FALSE,#N/A,#N/A,FALSE,FALSE,FALSE,1,#N/A,#N/A,FALSE,FALSE,TRUE,TRUE,TRUE}</definedName>
    <definedName name="yrtyretyreyt" hidden="1">{TRUE,TRUE,-1.25,-15.5,604.5,343.5,FALSE,FALSE,TRUE,TRUE,0,1,2,1,4,1,3,4,TRUE,TRUE,3,TRUE,1,TRUE,85,"Swvu.capexsum.","ACwvu.capexsum.",#N/A,FALSE,FALSE,0.75,0.75,1,1,2,"","",TRUE,FALSE,FALSE,FALSE,1,100,#N/A,#N/A,"=R1C1:R24C12",FALSE,#N/A,#N/A,FALSE,FALSE,FALSE,1,#N/A,#N/A,FALSE,FALSE,TRUE,TRUE,TRUE}</definedName>
    <definedName name="yuiuyi" localSheetId="19" hidden="1">{#N/A,#N/A,FALSE,"P&amp;L";#N/A,#N/A,FALSE,"DL Worksheet";#N/A,#N/A,FALSE,"Ind. Cell";#N/A,#N/A,FALSE,"Capital";#N/A,#N/A,FALSE,"Tooling";#N/A,#N/A,FALSE,"LRP"}</definedName>
    <definedName name="yuiuyi" hidden="1">{#N/A,#N/A,FALSE,"P&amp;L";#N/A,#N/A,FALSE,"DL Worksheet";#N/A,#N/A,FALSE,"Ind. Cell";#N/A,#N/A,FALSE,"Capital";#N/A,#N/A,FALSE,"Tooling";#N/A,#N/A,FALSE,"LRP"}</definedName>
    <definedName name="yyy" localSheetId="19" hidden="1">{#N/A,#N/A,FALSE,"QTR Total";#N/A,#N/A,FALSE,"QTR ASNS";#N/A,#N/A,FALSE,"QTR PNCNS";#N/A,#N/A,FALSE,"QTR DSNS";#N/A,#N/A,FALSE,"QTR TNS"}</definedName>
    <definedName name="yyy" hidden="1">{#N/A,#N/A,FALSE,"QTR Total";#N/A,#N/A,FALSE,"QTR ASNS";#N/A,#N/A,FALSE,"QTR PNCNS";#N/A,#N/A,FALSE,"QTR DSNS";#N/A,#N/A,FALSE,"QTR TNS"}</definedName>
    <definedName name="Z_28948E05_8F34_4F1E_96FB_A80A6A844600_.wvu.Cols" localSheetId="6" hidden="1">'4 - Cap Adds'!$L:$AB</definedName>
    <definedName name="Z_28948E05_8F34_4F1E_96FB_A80A6A844600_.wvu.Cols" localSheetId="8" hidden="1">'6a-ADIT Projection'!#REF!</definedName>
    <definedName name="Z_28948E05_8F34_4F1E_96FB_A80A6A844600_.wvu.Cols" localSheetId="9" hidden="1">'6b-ADIT Projection Proration'!#REF!</definedName>
    <definedName name="Z_28948E05_8F34_4F1E_96FB_A80A6A844600_.wvu.Cols" localSheetId="10" hidden="1">'6c- ADIT BOY'!#REF!</definedName>
    <definedName name="Z_28948E05_8F34_4F1E_96FB_A80A6A844600_.wvu.Cols" localSheetId="11" hidden="1">'6d- ADIT EOY'!#REF!</definedName>
    <definedName name="Z_28948E05_8F34_4F1E_96FB_A80A6A844600_.wvu.Cols" localSheetId="12" hidden="1">'6e-ADIT True-up'!#REF!</definedName>
    <definedName name="Z_28948E05_8F34_4F1E_96FB_A80A6A844600_.wvu.Cols" localSheetId="13" hidden="1">'6f-ADIT True-up Proration'!#REF!</definedName>
    <definedName name="Z_28948E05_8F34_4F1E_96FB_A80A6A844600_.wvu.PrintArea" localSheetId="8" hidden="1">'6a-ADIT Projection'!$B$1:$G$52</definedName>
    <definedName name="Z_28948E05_8F34_4F1E_96FB_A80A6A844600_.wvu.PrintArea" localSheetId="9" hidden="1">'6b-ADIT Projection Proration'!$B$1:$H$74</definedName>
    <definedName name="Z_28948E05_8F34_4F1E_96FB_A80A6A844600_.wvu.PrintArea" localSheetId="10" hidden="1">'6c- ADIT BOY'!$B$1:$H$106</definedName>
    <definedName name="Z_28948E05_8F34_4F1E_96FB_A80A6A844600_.wvu.PrintArea" localSheetId="11" hidden="1">'6d- ADIT EOY'!$B$1:$H$106</definedName>
    <definedName name="Z_28948E05_8F34_4F1E_96FB_A80A6A844600_.wvu.PrintArea" localSheetId="12" hidden="1">'6e-ADIT True-up'!$B$1:$G$48</definedName>
    <definedName name="Z_28948E05_8F34_4F1E_96FB_A80A6A844600_.wvu.PrintArea" localSheetId="13" hidden="1">'6f-ADIT True-up Proration'!$B$1:$F$74</definedName>
    <definedName name="Z_28948E05_8F34_4F1E_96FB_A80A6A844600_.wvu.PrintTitles" localSheetId="6" hidden="1">'4 - Cap Adds'!$C:$D</definedName>
    <definedName name="Z_3768C7C8_9953_11DA_B318_000FB55D51DC_.wvu.PrintArea" localSheetId="1" hidden="1">'1 - Revenue Credits'!$A$5:$D$20</definedName>
    <definedName name="Z_3768C7C8_9953_11DA_B318_000FB55D51DC_.wvu.PrintArea" localSheetId="2" hidden="1">'2 - Cost Support '!#REF!</definedName>
    <definedName name="Z_3768C7C8_9953_11DA_B318_000FB55D51DC_.wvu.PrintArea" localSheetId="3" hidden="1">'2a - Cost Support'!$A$49:$M$151</definedName>
    <definedName name="Z_3768C7C8_9953_11DA_B318_000FB55D51DC_.wvu.PrintTitles" localSheetId="2" hidden="1">'2 - Cost Support '!#REF!</definedName>
    <definedName name="Z_3768C7C8_9953_11DA_B318_000FB55D51DC_.wvu.PrintTitles" localSheetId="3" hidden="1">'2a - Cost Support'!#REF!</definedName>
    <definedName name="Z_3768C7C8_9953_11DA_B318_000FB55D51DC_.wvu.Rows" localSheetId="2" hidden="1">'2 - Cost Support '!#REF!</definedName>
    <definedName name="Z_3768C7C8_9953_11DA_B318_000FB55D51DC_.wvu.Rows" localSheetId="3" hidden="1">'2a - Cost Support'!#REF!</definedName>
    <definedName name="Z_3A38DF7A_C35E_4DD3_9893_26310A3EF836_.wvu.Cols" localSheetId="6" hidden="1">'4 - Cap Adds'!$L:$AB</definedName>
    <definedName name="Z_3A38DF7A_C35E_4DD3_9893_26310A3EF836_.wvu.PrintTitles" localSheetId="6" hidden="1">'4 - Cap Adds'!$C:$D</definedName>
    <definedName name="Z_3BDD6235_B127_4929_8311_BDAF7BB89818_.wvu.PrintArea" localSheetId="1" hidden="1">'1 - Revenue Credits'!$A$5:$D$20</definedName>
    <definedName name="Z_3BDD6235_B127_4929_8311_BDAF7BB89818_.wvu.PrintArea" localSheetId="2" hidden="1">'2 - Cost Support '!#REF!</definedName>
    <definedName name="Z_3BDD6235_B127_4929_8311_BDAF7BB89818_.wvu.PrintArea" localSheetId="3" hidden="1">'2a - Cost Support'!$A$49:$M$151</definedName>
    <definedName name="Z_3BDD6235_B127_4929_8311_BDAF7BB89818_.wvu.PrintTitles" localSheetId="2" hidden="1">'2 - Cost Support '!#REF!</definedName>
    <definedName name="Z_3BDD6235_B127_4929_8311_BDAF7BB89818_.wvu.PrintTitles" localSheetId="3" hidden="1">'2a - Cost Support'!#REF!</definedName>
    <definedName name="Z_3BDD6235_B127_4929_8311_BDAF7BB89818_.wvu.Rows" localSheetId="2" hidden="1">'2 - Cost Support '!#REF!</definedName>
    <definedName name="Z_3BDD6235_B127_4929_8311_BDAF7BB89818_.wvu.Rows" localSheetId="3" hidden="1">'2a - Cost Support'!#REF!</definedName>
    <definedName name="Z_4C7C2344_134C_465A_ADEB_A5E96AAE2308_.wvu.Cols" localSheetId="6" hidden="1">'4 - Cap Adds'!$L:$AB</definedName>
    <definedName name="Z_4C7C2344_134C_465A_ADEB_A5E96AAE2308_.wvu.PrintTitles" localSheetId="6" hidden="1">'4 - Cap Adds'!$C:$D</definedName>
    <definedName name="Z_63011E91_4609_4523_98FE_FD252E915668_.wvu.Cols" localSheetId="8" hidden="1">'6a-ADIT Projection'!#REF!</definedName>
    <definedName name="Z_63011E91_4609_4523_98FE_FD252E915668_.wvu.Cols" localSheetId="9" hidden="1">'6b-ADIT Projection Proration'!#REF!</definedName>
    <definedName name="Z_63011E91_4609_4523_98FE_FD252E915668_.wvu.Cols" localSheetId="10" hidden="1">'6c- ADIT BOY'!#REF!</definedName>
    <definedName name="Z_63011E91_4609_4523_98FE_FD252E915668_.wvu.Cols" localSheetId="11" hidden="1">'6d- ADIT EOY'!#REF!</definedName>
    <definedName name="Z_63011E91_4609_4523_98FE_FD252E915668_.wvu.Cols" localSheetId="12" hidden="1">'6e-ADIT True-up'!#REF!</definedName>
    <definedName name="Z_63011E91_4609_4523_98FE_FD252E915668_.wvu.Cols" localSheetId="13" hidden="1">'6f-ADIT True-up Proration'!#REF!</definedName>
    <definedName name="Z_63011E91_4609_4523_98FE_FD252E915668_.wvu.PrintArea" localSheetId="8" hidden="1">'6a-ADIT Projection'!$B$1:$G$52</definedName>
    <definedName name="Z_63011E91_4609_4523_98FE_FD252E915668_.wvu.PrintArea" localSheetId="9" hidden="1">'6b-ADIT Projection Proration'!$B$1:$H$74</definedName>
    <definedName name="Z_63011E91_4609_4523_98FE_FD252E915668_.wvu.PrintArea" localSheetId="10" hidden="1">'6c- ADIT BOY'!$B$1:$H$106</definedName>
    <definedName name="Z_63011E91_4609_4523_98FE_FD252E915668_.wvu.PrintArea" localSheetId="11" hidden="1">'6d- ADIT EOY'!$B$1:$H$106</definedName>
    <definedName name="Z_63011E91_4609_4523_98FE_FD252E915668_.wvu.PrintArea" localSheetId="12" hidden="1">'6e-ADIT True-up'!$B$1:$G$48</definedName>
    <definedName name="Z_63011E91_4609_4523_98FE_FD252E915668_.wvu.PrintArea" localSheetId="13" hidden="1">'6f-ADIT True-up Proration'!$B$1:$F$74</definedName>
    <definedName name="Z_6928E596_79BD_4CEC_9F0D_07E62D69B2A5_.wvu.Cols" localSheetId="8" hidden="1">'6a-ADIT Projection'!#REF!</definedName>
    <definedName name="Z_6928E596_79BD_4CEC_9F0D_07E62D69B2A5_.wvu.Cols" localSheetId="9" hidden="1">'6b-ADIT Projection Proration'!#REF!</definedName>
    <definedName name="Z_6928E596_79BD_4CEC_9F0D_07E62D69B2A5_.wvu.Cols" localSheetId="10" hidden="1">'6c- ADIT BOY'!#REF!</definedName>
    <definedName name="Z_6928E596_79BD_4CEC_9F0D_07E62D69B2A5_.wvu.Cols" localSheetId="11" hidden="1">'6d- ADIT EOY'!#REF!</definedName>
    <definedName name="Z_6928E596_79BD_4CEC_9F0D_07E62D69B2A5_.wvu.Cols" localSheetId="12" hidden="1">'6e-ADIT True-up'!#REF!</definedName>
    <definedName name="Z_6928E596_79BD_4CEC_9F0D_07E62D69B2A5_.wvu.Cols" localSheetId="13" hidden="1">'6f-ADIT True-up Proration'!#REF!</definedName>
    <definedName name="Z_6928E596_79BD_4CEC_9F0D_07E62D69B2A5_.wvu.PrintArea" localSheetId="8" hidden="1">'6a-ADIT Projection'!$B$1:$G$52</definedName>
    <definedName name="Z_6928E596_79BD_4CEC_9F0D_07E62D69B2A5_.wvu.PrintArea" localSheetId="9" hidden="1">'6b-ADIT Projection Proration'!$B$1:$H$74</definedName>
    <definedName name="Z_6928E596_79BD_4CEC_9F0D_07E62D69B2A5_.wvu.PrintArea" localSheetId="10" hidden="1">'6c- ADIT BOY'!$B$1:$H$106</definedName>
    <definedName name="Z_6928E596_79BD_4CEC_9F0D_07E62D69B2A5_.wvu.PrintArea" localSheetId="11" hidden="1">'6d- ADIT EOY'!$B$1:$H$106</definedName>
    <definedName name="Z_6928E596_79BD_4CEC_9F0D_07E62D69B2A5_.wvu.PrintArea" localSheetId="12" hidden="1">'6e-ADIT True-up'!$B$1:$G$48</definedName>
    <definedName name="Z_6928E596_79BD_4CEC_9F0D_07E62D69B2A5_.wvu.PrintArea" localSheetId="13" hidden="1">'6f-ADIT True-up Proration'!$B$1:$F$74</definedName>
    <definedName name="Z_71B42B22_A376_44B5_B0C1_23FC1AA3DBA2_.wvu.Cols" localSheetId="6" hidden="1">'4 - Cap Adds'!$L:$AB</definedName>
    <definedName name="Z_71B42B22_A376_44B5_B0C1_23FC1AA3DBA2_.wvu.Cols" localSheetId="8" hidden="1">'6a-ADIT Projection'!#REF!</definedName>
    <definedName name="Z_71B42B22_A376_44B5_B0C1_23FC1AA3DBA2_.wvu.Cols" localSheetId="9" hidden="1">'6b-ADIT Projection Proration'!#REF!</definedName>
    <definedName name="Z_71B42B22_A376_44B5_B0C1_23FC1AA3DBA2_.wvu.Cols" localSheetId="10" hidden="1">'6c- ADIT BOY'!#REF!</definedName>
    <definedName name="Z_71B42B22_A376_44B5_B0C1_23FC1AA3DBA2_.wvu.Cols" localSheetId="11" hidden="1">'6d- ADIT EOY'!#REF!</definedName>
    <definedName name="Z_71B42B22_A376_44B5_B0C1_23FC1AA3DBA2_.wvu.Cols" localSheetId="12" hidden="1">'6e-ADIT True-up'!#REF!</definedName>
    <definedName name="Z_71B42B22_A376_44B5_B0C1_23FC1AA3DBA2_.wvu.Cols" localSheetId="13" hidden="1">'6f-ADIT True-up Proration'!#REF!</definedName>
    <definedName name="Z_71B42B22_A376_44B5_B0C1_23FC1AA3DBA2_.wvu.PrintArea" localSheetId="8" hidden="1">'6a-ADIT Projection'!$B$1:$G$52</definedName>
    <definedName name="Z_71B42B22_A376_44B5_B0C1_23FC1AA3DBA2_.wvu.PrintArea" localSheetId="9" hidden="1">'6b-ADIT Projection Proration'!$B$1:$H$74</definedName>
    <definedName name="Z_71B42B22_A376_44B5_B0C1_23FC1AA3DBA2_.wvu.PrintArea" localSheetId="10" hidden="1">'6c- ADIT BOY'!$B$1:$H$106</definedName>
    <definedName name="Z_71B42B22_A376_44B5_B0C1_23FC1AA3DBA2_.wvu.PrintArea" localSheetId="11" hidden="1">'6d- ADIT EOY'!$B$1:$H$106</definedName>
    <definedName name="Z_71B42B22_A376_44B5_B0C1_23FC1AA3DBA2_.wvu.PrintArea" localSheetId="12" hidden="1">'6e-ADIT True-up'!$B$1:$G$48</definedName>
    <definedName name="Z_71B42B22_A376_44B5_B0C1_23FC1AA3DBA2_.wvu.PrintArea" localSheetId="13" hidden="1">'6f-ADIT True-up Proration'!$B$1:$F$74</definedName>
    <definedName name="Z_71B42B22_A376_44B5_B0C1_23FC1AA3DBA2_.wvu.PrintTitles" localSheetId="6" hidden="1">'4 - Cap Adds'!$C:$D</definedName>
    <definedName name="Z_8FBB4DC9_2D51_4AB9_80D8_F8474B404C29_.wvu.Cols" localSheetId="8" hidden="1">'6a-ADIT Projection'!#REF!</definedName>
    <definedName name="Z_8FBB4DC9_2D51_4AB9_80D8_F8474B404C29_.wvu.Cols" localSheetId="9" hidden="1">'6b-ADIT Projection Proration'!#REF!</definedName>
    <definedName name="Z_8FBB4DC9_2D51_4AB9_80D8_F8474B404C29_.wvu.Cols" localSheetId="10" hidden="1">'6c- ADIT BOY'!#REF!</definedName>
    <definedName name="Z_8FBB4DC9_2D51_4AB9_80D8_F8474B404C29_.wvu.Cols" localSheetId="11" hidden="1">'6d- ADIT EOY'!#REF!</definedName>
    <definedName name="Z_8FBB4DC9_2D51_4AB9_80D8_F8474B404C29_.wvu.Cols" localSheetId="12" hidden="1">'6e-ADIT True-up'!#REF!</definedName>
    <definedName name="Z_8FBB4DC9_2D51_4AB9_80D8_F8474B404C29_.wvu.Cols" localSheetId="13" hidden="1">'6f-ADIT True-up Proration'!#REF!</definedName>
    <definedName name="Z_8FBB4DC9_2D51_4AB9_80D8_F8474B404C29_.wvu.PrintArea" localSheetId="8" hidden="1">'6a-ADIT Projection'!$B$1:$G$52</definedName>
    <definedName name="Z_8FBB4DC9_2D51_4AB9_80D8_F8474B404C29_.wvu.PrintArea" localSheetId="9" hidden="1">'6b-ADIT Projection Proration'!$B$1:$H$74</definedName>
    <definedName name="Z_8FBB4DC9_2D51_4AB9_80D8_F8474B404C29_.wvu.PrintArea" localSheetId="10" hidden="1">'6c- ADIT BOY'!$B$1:$H$106</definedName>
    <definedName name="Z_8FBB4DC9_2D51_4AB9_80D8_F8474B404C29_.wvu.PrintArea" localSheetId="11" hidden="1">'6d- ADIT EOY'!$B$1:$H$106</definedName>
    <definedName name="Z_8FBB4DC9_2D51_4AB9_80D8_F8474B404C29_.wvu.PrintArea" localSheetId="12" hidden="1">'6e-ADIT True-up'!$B$1:$G$48</definedName>
    <definedName name="Z_8FBB4DC9_2D51_4AB9_80D8_F8474B404C29_.wvu.PrintArea" localSheetId="13" hidden="1">'6f-ADIT True-up Proration'!$B$1:$F$74</definedName>
    <definedName name="Z_B0241363_5C8A_48FC_89A6_56D55586BABE_.wvu.PrintArea" localSheetId="1" hidden="1">'1 - Revenue Credits'!$A$5:$D$20</definedName>
    <definedName name="Z_B0241363_5C8A_48FC_89A6_56D55586BABE_.wvu.PrintArea" localSheetId="2" hidden="1">'2 - Cost Support '!#REF!</definedName>
    <definedName name="Z_B0241363_5C8A_48FC_89A6_56D55586BABE_.wvu.PrintArea" localSheetId="3" hidden="1">'2a - Cost Support'!$A$49:$M$151</definedName>
    <definedName name="Z_B0241363_5C8A_48FC_89A6_56D55586BABE_.wvu.PrintTitles" localSheetId="2" hidden="1">'2 - Cost Support '!#REF!</definedName>
    <definedName name="Z_B0241363_5C8A_48FC_89A6_56D55586BABE_.wvu.PrintTitles" localSheetId="3" hidden="1">'2a - Cost Support'!#REF!</definedName>
    <definedName name="Z_B0241363_5C8A_48FC_89A6_56D55586BABE_.wvu.Rows" localSheetId="2" hidden="1">'2 - Cost Support '!#REF!</definedName>
    <definedName name="Z_B0241363_5C8A_48FC_89A6_56D55586BABE_.wvu.Rows" localSheetId="3" hidden="1">'2a - Cost Support'!#REF!</definedName>
    <definedName name="Z_B647CB7F_C846_4278_B6B1_1EF7F3C004F5_.wvu.Cols" localSheetId="8" hidden="1">'6a-ADIT Projection'!#REF!</definedName>
    <definedName name="Z_B647CB7F_C846_4278_B6B1_1EF7F3C004F5_.wvu.Cols" localSheetId="9" hidden="1">'6b-ADIT Projection Proration'!#REF!</definedName>
    <definedName name="Z_B647CB7F_C846_4278_B6B1_1EF7F3C004F5_.wvu.Cols" localSheetId="10" hidden="1">'6c- ADIT BOY'!#REF!</definedName>
    <definedName name="Z_B647CB7F_C846_4278_B6B1_1EF7F3C004F5_.wvu.Cols" localSheetId="11" hidden="1">'6d- ADIT EOY'!#REF!</definedName>
    <definedName name="Z_B647CB7F_C846_4278_B6B1_1EF7F3C004F5_.wvu.Cols" localSheetId="12" hidden="1">'6e-ADIT True-up'!#REF!</definedName>
    <definedName name="Z_B647CB7F_C846_4278_B6B1_1EF7F3C004F5_.wvu.Cols" localSheetId="13" hidden="1">'6f-ADIT True-up Proration'!#REF!</definedName>
    <definedName name="Z_B647CB7F_C846_4278_B6B1_1EF7F3C004F5_.wvu.PrintArea" localSheetId="8" hidden="1">'6a-ADIT Projection'!$B$1:$G$52</definedName>
    <definedName name="Z_B647CB7F_C846_4278_B6B1_1EF7F3C004F5_.wvu.PrintArea" localSheetId="9" hidden="1">'6b-ADIT Projection Proration'!$B$1:$H$74</definedName>
    <definedName name="Z_B647CB7F_C846_4278_B6B1_1EF7F3C004F5_.wvu.PrintArea" localSheetId="10" hidden="1">'6c- ADIT BOY'!$B$1:$H$106</definedName>
    <definedName name="Z_B647CB7F_C846_4278_B6B1_1EF7F3C004F5_.wvu.PrintArea" localSheetId="11" hidden="1">'6d- ADIT EOY'!$B$1:$H$106</definedName>
    <definedName name="Z_B647CB7F_C846_4278_B6B1_1EF7F3C004F5_.wvu.PrintArea" localSheetId="12" hidden="1">'6e-ADIT True-up'!$B$1:$G$48</definedName>
    <definedName name="Z_B647CB7F_C846_4278_B6B1_1EF7F3C004F5_.wvu.PrintArea" localSheetId="13" hidden="1">'6f-ADIT True-up Proration'!$B$1:$F$74</definedName>
    <definedName name="Z_C0EA0F9F_7310_4201_82C9_7B8FC8DB9137_.wvu.PrintArea" localSheetId="1" hidden="1">'1 - Revenue Credits'!$A$5:$D$20</definedName>
    <definedName name="Z_C0EA0F9F_7310_4201_82C9_7B8FC8DB9137_.wvu.PrintArea" localSheetId="2" hidden="1">'2 - Cost Support '!#REF!</definedName>
    <definedName name="Z_C0EA0F9F_7310_4201_82C9_7B8FC8DB9137_.wvu.PrintArea" localSheetId="3" hidden="1">'2a - Cost Support'!$A$49:$M$151</definedName>
    <definedName name="Z_C0EA0F9F_7310_4201_82C9_7B8FC8DB9137_.wvu.PrintTitles" localSheetId="2" hidden="1">'2 - Cost Support '!#REF!</definedName>
    <definedName name="Z_C0EA0F9F_7310_4201_82C9_7B8FC8DB9137_.wvu.PrintTitles" localSheetId="3" hidden="1">'2a - Cost Support'!#REF!</definedName>
    <definedName name="Z_C0EA0F9F_7310_4201_82C9_7B8FC8DB9137_.wvu.Rows" localSheetId="2" hidden="1">'2 - Cost Support '!#REF!</definedName>
    <definedName name="Z_C0EA0F9F_7310_4201_82C9_7B8FC8DB9137_.wvu.Rows" localSheetId="3" hidden="1">'2a - Cost Support'!#REF!</definedName>
    <definedName name="Z_DA967730_B71F_4038_B1B7_9D4790729C5D_.wvu.Cols" localSheetId="6" hidden="1">'4 - Cap Adds'!$L:$AB</definedName>
    <definedName name="Z_DA967730_B71F_4038_B1B7_9D4790729C5D_.wvu.PrintTitles" localSheetId="6" hidden="1">'4 - Cap Adds'!$C:$D</definedName>
    <definedName name="Z_DC91DEF3_837B_4BB9_A81E_3B78C5914E6C_.wvu.Cols" localSheetId="6" hidden="1">'4 - Cap Adds'!$L:$AB</definedName>
    <definedName name="Z_DC91DEF3_837B_4BB9_A81E_3B78C5914E6C_.wvu.Cols" localSheetId="8" hidden="1">'6a-ADIT Projection'!#REF!</definedName>
    <definedName name="Z_DC91DEF3_837B_4BB9_A81E_3B78C5914E6C_.wvu.Cols" localSheetId="9" hidden="1">'6b-ADIT Projection Proration'!#REF!</definedName>
    <definedName name="Z_DC91DEF3_837B_4BB9_A81E_3B78C5914E6C_.wvu.Cols" localSheetId="10" hidden="1">'6c- ADIT BOY'!#REF!</definedName>
    <definedName name="Z_DC91DEF3_837B_4BB9_A81E_3B78C5914E6C_.wvu.Cols" localSheetId="11" hidden="1">'6d- ADIT EOY'!#REF!</definedName>
    <definedName name="Z_DC91DEF3_837B_4BB9_A81E_3B78C5914E6C_.wvu.Cols" localSheetId="12" hidden="1">'6e-ADIT True-up'!#REF!</definedName>
    <definedName name="Z_DC91DEF3_837B_4BB9_A81E_3B78C5914E6C_.wvu.Cols" localSheetId="13" hidden="1">'6f-ADIT True-up Proration'!#REF!</definedName>
    <definedName name="Z_DC91DEF3_837B_4BB9_A81E_3B78C5914E6C_.wvu.PrintArea" localSheetId="8" hidden="1">'6a-ADIT Projection'!$B$1:$G$52</definedName>
    <definedName name="Z_DC91DEF3_837B_4BB9_A81E_3B78C5914E6C_.wvu.PrintArea" localSheetId="9" hidden="1">'6b-ADIT Projection Proration'!$B$1:$H$74</definedName>
    <definedName name="Z_DC91DEF3_837B_4BB9_A81E_3B78C5914E6C_.wvu.PrintArea" localSheetId="10" hidden="1">'6c- ADIT BOY'!$B$1:$H$106</definedName>
    <definedName name="Z_DC91DEF3_837B_4BB9_A81E_3B78C5914E6C_.wvu.PrintArea" localSheetId="11" hidden="1">'6d- ADIT EOY'!$B$1:$H$106</definedName>
    <definedName name="Z_DC91DEF3_837B_4BB9_A81E_3B78C5914E6C_.wvu.PrintArea" localSheetId="12" hidden="1">'6e-ADIT True-up'!$B$1:$G$48</definedName>
    <definedName name="Z_DC91DEF3_837B_4BB9_A81E_3B78C5914E6C_.wvu.PrintArea" localSheetId="13" hidden="1">'6f-ADIT True-up Proration'!$B$1:$F$74</definedName>
    <definedName name="Z_DC91DEF3_837B_4BB9_A81E_3B78C5914E6C_.wvu.PrintTitles" localSheetId="6" hidden="1">'4 - Cap Adds'!$C:$D</definedName>
    <definedName name="Z_F96D6087_3330_4A81_95EC_26BA83722A49_.wvu.Cols" localSheetId="6" hidden="1">'4 - Cap Adds'!$L:$AB</definedName>
    <definedName name="Z_F96D6087_3330_4A81_95EC_26BA83722A49_.wvu.PrintTitles" localSheetId="6" hidden="1">'4 - Cap Adds'!$C:$D</definedName>
    <definedName name="Z_FAAD9AAC_1337_43AB_BF1F_CCF9DFCF5B78_.wvu.Cols" localSheetId="6" hidden="1">'4 - Cap Adds'!$L:$AB</definedName>
    <definedName name="Z_FAAD9AAC_1337_43AB_BF1F_CCF9DFCF5B78_.wvu.Cols" localSheetId="8" hidden="1">'6a-ADIT Projection'!#REF!</definedName>
    <definedName name="Z_FAAD9AAC_1337_43AB_BF1F_CCF9DFCF5B78_.wvu.Cols" localSheetId="9" hidden="1">'6b-ADIT Projection Proration'!#REF!</definedName>
    <definedName name="Z_FAAD9AAC_1337_43AB_BF1F_CCF9DFCF5B78_.wvu.Cols" localSheetId="10" hidden="1">'6c- ADIT BOY'!#REF!</definedName>
    <definedName name="Z_FAAD9AAC_1337_43AB_BF1F_CCF9DFCF5B78_.wvu.Cols" localSheetId="11" hidden="1">'6d- ADIT EOY'!#REF!</definedName>
    <definedName name="Z_FAAD9AAC_1337_43AB_BF1F_CCF9DFCF5B78_.wvu.Cols" localSheetId="12" hidden="1">'6e-ADIT True-up'!#REF!</definedName>
    <definedName name="Z_FAAD9AAC_1337_43AB_BF1F_CCF9DFCF5B78_.wvu.Cols" localSheetId="13" hidden="1">'6f-ADIT True-up Proration'!#REF!</definedName>
    <definedName name="Z_FAAD9AAC_1337_43AB_BF1F_CCF9DFCF5B78_.wvu.PrintArea" localSheetId="8" hidden="1">'6a-ADIT Projection'!$B$1:$G$52</definedName>
    <definedName name="Z_FAAD9AAC_1337_43AB_BF1F_CCF9DFCF5B78_.wvu.PrintArea" localSheetId="9" hidden="1">'6b-ADIT Projection Proration'!$B$1:$H$74</definedName>
    <definedName name="Z_FAAD9AAC_1337_43AB_BF1F_CCF9DFCF5B78_.wvu.PrintArea" localSheetId="10" hidden="1">'6c- ADIT BOY'!$B$1:$H$106</definedName>
    <definedName name="Z_FAAD9AAC_1337_43AB_BF1F_CCF9DFCF5B78_.wvu.PrintArea" localSheetId="11" hidden="1">'6d- ADIT EOY'!$B$1:$H$106</definedName>
    <definedName name="Z_FAAD9AAC_1337_43AB_BF1F_CCF9DFCF5B78_.wvu.PrintArea" localSheetId="12" hidden="1">'6e-ADIT True-up'!$B$1:$G$48</definedName>
    <definedName name="Z_FAAD9AAC_1337_43AB_BF1F_CCF9DFCF5B78_.wvu.PrintArea" localSheetId="13" hidden="1">'6f-ADIT True-up Proration'!$B$1:$F$74</definedName>
    <definedName name="Z_FAAD9AAC_1337_43AB_BF1F_CCF9DFCF5B78_.wvu.PrintTitles" localSheetId="6" hidden="1">'4 - Cap Adds'!$C:$D</definedName>
    <definedName name="zero">0</definedName>
    <definedName name="zz" localSheetId="19" hidden="1">{#N/A,#N/A,FALSE,"TOTFINAL";#N/A,#N/A,FALSE,"FINPLAN";#N/A,#N/A,FALSE,"TOTMOTADJ";#N/A,#N/A,FALSE,"tieEQ";#N/A,#N/A,FALSE,"G";#N/A,#N/A,FALSE,"ELIMS";#N/A,#N/A,FALSE,"NEXTEL ADJ";#N/A,#N/A,FALSE,"MIMS";#N/A,#N/A,FALSE,"LMPS";#N/A,#N/A,FALSE,"CNSS";#N/A,#N/A,FALSE,"CSS";#N/A,#N/A,FALSE,"MCG";#N/A,#N/A,FALSE,"AECS";#N/A,#N/A,FALSE,"SPS";#N/A,#N/A,FALSE,"CORP"}</definedName>
    <definedName name="zz" hidden="1">{#N/A,#N/A,FALSE,"TOTFINAL";#N/A,#N/A,FALSE,"FINPLAN";#N/A,#N/A,FALSE,"TOTMOTADJ";#N/A,#N/A,FALSE,"tieEQ";#N/A,#N/A,FALSE,"G";#N/A,#N/A,FALSE,"ELIMS";#N/A,#N/A,FALSE,"NEXTEL ADJ";#N/A,#N/A,FALSE,"MIMS";#N/A,#N/A,FALSE,"LMPS";#N/A,#N/A,FALSE,"CNSS";#N/A,#N/A,FALSE,"CSS";#N/A,#N/A,FALSE,"MCG";#N/A,#N/A,FALSE,"AECS";#N/A,#N/A,FALSE,"SPS";#N/A,#N/A,FALSE,"CORP"}</definedName>
    <definedName name="zzzz" localSheetId="19" hidden="1">{#N/A,#N/A,FALSE,"TOTFINAL";#N/A,#N/A,FALSE,"FINPLAN";#N/A,#N/A,FALSE,"TOTMOTADJ";#N/A,#N/A,FALSE,"tieEQ";#N/A,#N/A,FALSE,"G";#N/A,#N/A,FALSE,"ELIMS";#N/A,#N/A,FALSE,"NEXTEL ADJ";#N/A,#N/A,FALSE,"MIMS";#N/A,#N/A,FALSE,"LMPS";#N/A,#N/A,FALSE,"CNSS";#N/A,#N/A,FALSE,"CSS";#N/A,#N/A,FALSE,"MCG";#N/A,#N/A,FALSE,"AECS";#N/A,#N/A,FALSE,"SPS";#N/A,#N/A,FALSE,"CORP"}</definedName>
    <definedName name="zzzz" hidden="1">{#N/A,#N/A,FALSE,"TOTFINAL";#N/A,#N/A,FALSE,"FINPLAN";#N/A,#N/A,FALSE,"TOTMOTADJ";#N/A,#N/A,FALSE,"tieEQ";#N/A,#N/A,FALSE,"G";#N/A,#N/A,FALSE,"ELIMS";#N/A,#N/A,FALSE,"NEXTEL ADJ";#N/A,#N/A,FALSE,"MIMS";#N/A,#N/A,FALSE,"LMPS";#N/A,#N/A,FALSE,"CNSS";#N/A,#N/A,FALSE,"CSS";#N/A,#N/A,FALSE,"MCG";#N/A,#N/A,FALSE,"AECS";#N/A,#N/A,FALSE,"SPS";#N/A,#N/A,FALSE,"CORP"}</definedName>
  </definedNames>
  <calcPr calcId="191029" iterate="1" iterateDelta="1.0000000000000001E-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20" l="1"/>
  <c r="Q18" i="19"/>
  <c r="AH17" i="19"/>
  <c r="AD17" i="19"/>
  <c r="AJ17" i="19" s="1"/>
  <c r="H17" i="19"/>
  <c r="L17" i="19" s="1"/>
  <c r="P17" i="19" s="1"/>
  <c r="AH16" i="19"/>
  <c r="AD16" i="19"/>
  <c r="AJ16" i="19" s="1"/>
  <c r="L16" i="19"/>
  <c r="P16" i="19" s="1"/>
  <c r="H16" i="19"/>
  <c r="AH15" i="19"/>
  <c r="AD15" i="19"/>
  <c r="AJ15" i="19" s="1"/>
  <c r="L15" i="19"/>
  <c r="P15" i="19" s="1"/>
  <c r="H15" i="19"/>
  <c r="AJ14" i="19"/>
  <c r="AH14" i="19"/>
  <c r="AD14" i="19"/>
  <c r="H14" i="19"/>
  <c r="L14" i="19" s="1"/>
  <c r="P14" i="19" s="1"/>
  <c r="AH13" i="19"/>
  <c r="AD13" i="19"/>
  <c r="AJ13" i="19" s="1"/>
  <c r="H13" i="19"/>
  <c r="L13" i="19" s="1"/>
  <c r="P13" i="19" s="1"/>
  <c r="AH12" i="19"/>
  <c r="AD12" i="19"/>
  <c r="AJ12" i="19" s="1"/>
  <c r="L12" i="19"/>
  <c r="P12" i="19" s="1"/>
  <c r="H12" i="19"/>
  <c r="AH11" i="19"/>
  <c r="AJ11" i="19" s="1"/>
  <c r="AD11" i="19"/>
  <c r="L11" i="19"/>
  <c r="P11" i="19" s="1"/>
  <c r="H11" i="19"/>
  <c r="AJ10" i="19"/>
  <c r="AH10" i="19"/>
  <c r="AD10" i="19"/>
  <c r="H10" i="19"/>
  <c r="L10" i="19" s="1"/>
  <c r="P10" i="19" s="1"/>
  <c r="AH9" i="19"/>
  <c r="AD9" i="19"/>
  <c r="AJ9" i="19" s="1"/>
  <c r="H9" i="19"/>
  <c r="L9" i="19" s="1"/>
  <c r="P9" i="19" s="1"/>
  <c r="AH8" i="19"/>
  <c r="F8" i="19"/>
  <c r="H8" i="19"/>
  <c r="L8" i="19" s="1"/>
  <c r="P8" i="19" s="1"/>
  <c r="P18" i="19" s="1"/>
  <c r="Q7" i="19"/>
  <c r="E17" i="18"/>
  <c r="E16" i="18"/>
  <c r="E15" i="18"/>
  <c r="E14" i="18"/>
  <c r="E13" i="18"/>
  <c r="E12" i="18"/>
  <c r="E11" i="18"/>
  <c r="E10" i="18"/>
  <c r="E9" i="18"/>
  <c r="E8" i="18"/>
  <c r="E18" i="18" s="1"/>
  <c r="F1" i="18"/>
  <c r="A34" i="17"/>
  <c r="A35" i="17" s="1"/>
  <c r="A36" i="17" s="1"/>
  <c r="A37" i="17" s="1"/>
  <c r="A38" i="17" s="1"/>
  <c r="A16" i="17"/>
  <c r="A17" i="17" s="1"/>
  <c r="A18" i="17" s="1"/>
  <c r="A19" i="17" s="1"/>
  <c r="A22" i="17" s="1"/>
  <c r="A23" i="17" s="1"/>
  <c r="A24" i="17" s="1"/>
  <c r="A25" i="17" s="1"/>
  <c r="A26" i="17" s="1"/>
  <c r="A27" i="17" s="1"/>
  <c r="A28" i="17" s="1"/>
  <c r="A29" i="17" s="1"/>
  <c r="A30" i="17" s="1"/>
  <c r="A12" i="17"/>
  <c r="A13" i="17" s="1"/>
  <c r="A14" i="17" s="1"/>
  <c r="A15" i="17" s="1"/>
  <c r="A11" i="17"/>
  <c r="U32" i="16"/>
  <c r="Y32" i="16" s="1"/>
  <c r="Y31" i="16"/>
  <c r="U31" i="16"/>
  <c r="U30" i="16"/>
  <c r="Y30" i="16" s="1"/>
  <c r="U29" i="16"/>
  <c r="Y29" i="16" s="1"/>
  <c r="U28" i="16"/>
  <c r="Y28" i="16" s="1"/>
  <c r="Y27" i="16"/>
  <c r="U27" i="16"/>
  <c r="U26" i="16"/>
  <c r="Y26" i="16" s="1"/>
  <c r="U25" i="16"/>
  <c r="Y25" i="16" s="1"/>
  <c r="U24" i="16"/>
  <c r="Y24" i="16" s="1"/>
  <c r="Y23" i="16"/>
  <c r="U23" i="16"/>
  <c r="U22" i="16"/>
  <c r="Y22" i="16" s="1"/>
  <c r="U21" i="16"/>
  <c r="Y21" i="16" s="1"/>
  <c r="U20" i="16"/>
  <c r="Y20" i="16" s="1"/>
  <c r="Y19" i="16"/>
  <c r="U19" i="16"/>
  <c r="U18" i="16"/>
  <c r="Y18" i="16" s="1"/>
  <c r="U17" i="16"/>
  <c r="Y17" i="16" s="1"/>
  <c r="U16" i="16"/>
  <c r="Y16" i="16" s="1"/>
  <c r="Y15" i="16"/>
  <c r="U15" i="16"/>
  <c r="U14" i="16"/>
  <c r="Y14" i="16" s="1"/>
  <c r="U13" i="16"/>
  <c r="Y13" i="16" s="1"/>
  <c r="U12" i="16"/>
  <c r="Y12" i="16" s="1"/>
  <c r="Y11" i="16"/>
  <c r="U11" i="16"/>
  <c r="U10" i="16"/>
  <c r="Y10" i="16" s="1"/>
  <c r="U9" i="16"/>
  <c r="Y9" i="16" s="1"/>
  <c r="U8" i="16"/>
  <c r="Y8" i="16" s="1"/>
  <c r="W32" i="15"/>
  <c r="Q32" i="15"/>
  <c r="Q31" i="15"/>
  <c r="W31" i="15" s="1"/>
  <c r="Q30" i="15"/>
  <c r="W30" i="15" s="1"/>
  <c r="W29" i="15"/>
  <c r="Q29" i="15"/>
  <c r="W28" i="15"/>
  <c r="Q28" i="15"/>
  <c r="Q27" i="15"/>
  <c r="W27" i="15" s="1"/>
  <c r="Q26" i="15"/>
  <c r="W26" i="15" s="1"/>
  <c r="W25" i="15"/>
  <c r="Q25" i="15"/>
  <c r="W24" i="15"/>
  <c r="Q24" i="15"/>
  <c r="Q23" i="15"/>
  <c r="W23" i="15" s="1"/>
  <c r="Q22" i="15"/>
  <c r="W22" i="15" s="1"/>
  <c r="W21" i="15"/>
  <c r="Q21" i="15"/>
  <c r="W20" i="15"/>
  <c r="Q20" i="15"/>
  <c r="Q19" i="15"/>
  <c r="W19" i="15" s="1"/>
  <c r="Q18" i="15"/>
  <c r="W18" i="15" s="1"/>
  <c r="W17" i="15"/>
  <c r="Q17" i="15"/>
  <c r="W16" i="15"/>
  <c r="Q16" i="15"/>
  <c r="Q15" i="15"/>
  <c r="W15" i="15" s="1"/>
  <c r="Q14" i="15"/>
  <c r="W14" i="15" s="1"/>
  <c r="W13" i="15"/>
  <c r="Q13" i="15"/>
  <c r="W12" i="15"/>
  <c r="Q12" i="15"/>
  <c r="Q11" i="15"/>
  <c r="W11" i="15" s="1"/>
  <c r="Q10" i="15"/>
  <c r="W10" i="15" s="1"/>
  <c r="D64" i="4" s="1"/>
  <c r="W9" i="15"/>
  <c r="Q9" i="15"/>
  <c r="W8" i="15"/>
  <c r="Q8" i="15"/>
  <c r="Q33" i="15" s="1"/>
  <c r="D7" i="15"/>
  <c r="AA54" i="14"/>
  <c r="R54" i="14"/>
  <c r="I54" i="14"/>
  <c r="AC53" i="14"/>
  <c r="X53" i="14"/>
  <c r="AB53" i="14" s="1"/>
  <c r="O53" i="14"/>
  <c r="S53" i="14" s="1"/>
  <c r="T53" i="14" s="1"/>
  <c r="F53" i="14"/>
  <c r="J53" i="14" s="1"/>
  <c r="K53" i="14" s="1"/>
  <c r="E53" i="14"/>
  <c r="Y53" i="14" s="1"/>
  <c r="AB52" i="14"/>
  <c r="X52" i="14"/>
  <c r="S52" i="14"/>
  <c r="O52" i="14"/>
  <c r="J52" i="14"/>
  <c r="K52" i="14" s="1"/>
  <c r="F52" i="14"/>
  <c r="E52" i="14"/>
  <c r="Y51" i="14"/>
  <c r="X51" i="14"/>
  <c r="AB51" i="14" s="1"/>
  <c r="AC51" i="14" s="1"/>
  <c r="P51" i="14"/>
  <c r="O51" i="14"/>
  <c r="S51" i="14" s="1"/>
  <c r="T51" i="14" s="1"/>
  <c r="G51" i="14"/>
  <c r="F51" i="14"/>
  <c r="J51" i="14" s="1"/>
  <c r="K51" i="14" s="1"/>
  <c r="E51" i="14"/>
  <c r="X50" i="14"/>
  <c r="AB50" i="14" s="1"/>
  <c r="AC50" i="14" s="1"/>
  <c r="AE50" i="14" s="1"/>
  <c r="O50" i="14"/>
  <c r="S50" i="14" s="1"/>
  <c r="T50" i="14" s="1"/>
  <c r="V50" i="14" s="1"/>
  <c r="F50" i="14"/>
  <c r="J50" i="14" s="1"/>
  <c r="K50" i="14" s="1"/>
  <c r="E50" i="14"/>
  <c r="Y50" i="14" s="1"/>
  <c r="X49" i="14"/>
  <c r="AB49" i="14" s="1"/>
  <c r="AC49" i="14" s="1"/>
  <c r="O49" i="14"/>
  <c r="S49" i="14" s="1"/>
  <c r="T49" i="14" s="1"/>
  <c r="F49" i="14"/>
  <c r="J49" i="14" s="1"/>
  <c r="K49" i="14" s="1"/>
  <c r="E49" i="14"/>
  <c r="Y49" i="14" s="1"/>
  <c r="AB48" i="14"/>
  <c r="AC48" i="14" s="1"/>
  <c r="X48" i="14"/>
  <c r="S48" i="14"/>
  <c r="T48" i="14" s="1"/>
  <c r="O48" i="14"/>
  <c r="J48" i="14"/>
  <c r="K48" i="14" s="1"/>
  <c r="F48" i="14"/>
  <c r="E48" i="14"/>
  <c r="Y48" i="14" s="1"/>
  <c r="AE47" i="14"/>
  <c r="X47" i="14"/>
  <c r="AB47" i="14" s="1"/>
  <c r="AC47" i="14" s="1"/>
  <c r="AD47" i="14" s="1"/>
  <c r="V47" i="14"/>
  <c r="O47" i="14"/>
  <c r="S47" i="14" s="1"/>
  <c r="T47" i="14" s="1"/>
  <c r="U47" i="14" s="1"/>
  <c r="F47" i="14"/>
  <c r="J47" i="14" s="1"/>
  <c r="K47" i="14" s="1"/>
  <c r="L47" i="14" s="1"/>
  <c r="E47" i="14"/>
  <c r="AB46" i="14"/>
  <c r="AC46" i="14" s="1"/>
  <c r="Y46" i="14"/>
  <c r="X46" i="14"/>
  <c r="S46" i="14"/>
  <c r="T46" i="14" s="1"/>
  <c r="P46" i="14"/>
  <c r="O46" i="14"/>
  <c r="J46" i="14"/>
  <c r="K46" i="14" s="1"/>
  <c r="G46" i="14"/>
  <c r="F46" i="14"/>
  <c r="E46" i="14"/>
  <c r="AC45" i="14"/>
  <c r="AB45" i="14"/>
  <c r="X45" i="14"/>
  <c r="T45" i="14"/>
  <c r="S45" i="14"/>
  <c r="O45" i="14"/>
  <c r="K45" i="14"/>
  <c r="J45" i="14"/>
  <c r="F45" i="14"/>
  <c r="E45" i="14"/>
  <c r="Y45" i="14" s="1"/>
  <c r="AB44" i="14"/>
  <c r="X44" i="14"/>
  <c r="S44" i="14"/>
  <c r="T44" i="14" s="1"/>
  <c r="O44" i="14"/>
  <c r="J44" i="14"/>
  <c r="K44" i="14" s="1"/>
  <c r="F44" i="14"/>
  <c r="E44" i="14"/>
  <c r="AC43" i="14"/>
  <c r="AE43" i="14" s="1"/>
  <c r="AB43" i="14"/>
  <c r="Y43" i="14"/>
  <c r="X43" i="14"/>
  <c r="T43" i="14"/>
  <c r="V43" i="14" s="1"/>
  <c r="S43" i="14"/>
  <c r="P43" i="14"/>
  <c r="O43" i="14"/>
  <c r="K43" i="14"/>
  <c r="M43" i="14" s="1"/>
  <c r="J43" i="14"/>
  <c r="G43" i="14"/>
  <c r="F43" i="14"/>
  <c r="E43" i="14"/>
  <c r="X42" i="14"/>
  <c r="AB42" i="14" s="1"/>
  <c r="O42" i="14"/>
  <c r="S42" i="14" s="1"/>
  <c r="L42" i="14"/>
  <c r="F42" i="14"/>
  <c r="J42" i="14" s="1"/>
  <c r="K42" i="14" s="1"/>
  <c r="E42" i="14"/>
  <c r="Y42" i="14" s="1"/>
  <c r="D42" i="14"/>
  <c r="Z41" i="14"/>
  <c r="Q41" i="14"/>
  <c r="H41" i="14"/>
  <c r="E41" i="14"/>
  <c r="D41" i="14"/>
  <c r="AA38" i="14"/>
  <c r="R38" i="14"/>
  <c r="I38" i="14"/>
  <c r="AC37" i="14"/>
  <c r="AB37" i="14"/>
  <c r="X37" i="14"/>
  <c r="T37" i="14"/>
  <c r="S37" i="14"/>
  <c r="O37" i="14"/>
  <c r="K37" i="14"/>
  <c r="J37" i="14"/>
  <c r="F37" i="14"/>
  <c r="E37" i="14"/>
  <c r="Y37" i="14" s="1"/>
  <c r="AB36" i="14"/>
  <c r="X36" i="14"/>
  <c r="S36" i="14"/>
  <c r="T36" i="14" s="1"/>
  <c r="O36" i="14"/>
  <c r="J36" i="14"/>
  <c r="K36" i="14" s="1"/>
  <c r="F36" i="14"/>
  <c r="E36" i="14"/>
  <c r="AC35" i="14"/>
  <c r="AE35" i="14" s="1"/>
  <c r="AB35" i="14"/>
  <c r="Y35" i="14"/>
  <c r="X35" i="14"/>
  <c r="T35" i="14"/>
  <c r="V35" i="14" s="1"/>
  <c r="S35" i="14"/>
  <c r="P35" i="14"/>
  <c r="O35" i="14"/>
  <c r="K35" i="14"/>
  <c r="M35" i="14" s="1"/>
  <c r="J35" i="14"/>
  <c r="G35" i="14"/>
  <c r="F35" i="14"/>
  <c r="E35" i="14"/>
  <c r="X34" i="14"/>
  <c r="AB34" i="14" s="1"/>
  <c r="AC34" i="14" s="1"/>
  <c r="AE34" i="14" s="1"/>
  <c r="U34" i="14"/>
  <c r="O34" i="14"/>
  <c r="S34" i="14" s="1"/>
  <c r="T34" i="14" s="1"/>
  <c r="V34" i="14" s="1"/>
  <c r="L34" i="14"/>
  <c r="F34" i="14"/>
  <c r="J34" i="14" s="1"/>
  <c r="K34" i="14" s="1"/>
  <c r="M34" i="14" s="1"/>
  <c r="E34" i="14"/>
  <c r="Y34" i="14" s="1"/>
  <c r="X33" i="14"/>
  <c r="AB33" i="14" s="1"/>
  <c r="AC33" i="14" s="1"/>
  <c r="O33" i="14"/>
  <c r="S33" i="14" s="1"/>
  <c r="T33" i="14" s="1"/>
  <c r="F33" i="14"/>
  <c r="J33" i="14" s="1"/>
  <c r="K33" i="14" s="1"/>
  <c r="E33" i="14"/>
  <c r="AD32" i="14"/>
  <c r="AB32" i="14"/>
  <c r="AC32" i="14" s="1"/>
  <c r="AE32" i="14" s="1"/>
  <c r="X32" i="14"/>
  <c r="S32" i="14"/>
  <c r="T32" i="14" s="1"/>
  <c r="V32" i="14" s="1"/>
  <c r="O32" i="14"/>
  <c r="L32" i="14"/>
  <c r="J32" i="14"/>
  <c r="K32" i="14" s="1"/>
  <c r="M32" i="14" s="1"/>
  <c r="F32" i="14"/>
  <c r="E32" i="14"/>
  <c r="Y32" i="14" s="1"/>
  <c r="X31" i="14"/>
  <c r="AB31" i="14" s="1"/>
  <c r="AC31" i="14" s="1"/>
  <c r="AD31" i="14" s="1"/>
  <c r="O31" i="14"/>
  <c r="S31" i="14" s="1"/>
  <c r="T31" i="14" s="1"/>
  <c r="U31" i="14" s="1"/>
  <c r="F31" i="14"/>
  <c r="J31" i="14" s="1"/>
  <c r="K31" i="14" s="1"/>
  <c r="E31" i="14"/>
  <c r="Y31" i="14" s="1"/>
  <c r="AB30" i="14"/>
  <c r="AC30" i="14" s="1"/>
  <c r="Y30" i="14"/>
  <c r="X30" i="14"/>
  <c r="S30" i="14"/>
  <c r="T30" i="14" s="1"/>
  <c r="P30" i="14"/>
  <c r="O30" i="14"/>
  <c r="J30" i="14"/>
  <c r="K30" i="14" s="1"/>
  <c r="G30" i="14"/>
  <c r="F30" i="14"/>
  <c r="E30" i="14"/>
  <c r="AC29" i="14"/>
  <c r="AB29" i="14"/>
  <c r="X29" i="14"/>
  <c r="V29" i="14"/>
  <c r="T29" i="14"/>
  <c r="U29" i="14" s="1"/>
  <c r="S29" i="14"/>
  <c r="O29" i="14"/>
  <c r="K29" i="14"/>
  <c r="J29" i="14"/>
  <c r="F29" i="14"/>
  <c r="E29" i="14"/>
  <c r="Y29" i="14" s="1"/>
  <c r="Y28" i="14"/>
  <c r="X28" i="14"/>
  <c r="AB28" i="14" s="1"/>
  <c r="AC28" i="14" s="1"/>
  <c r="P28" i="14"/>
  <c r="O28" i="14"/>
  <c r="S28" i="14" s="1"/>
  <c r="G28" i="14"/>
  <c r="F28" i="14"/>
  <c r="J28" i="14" s="1"/>
  <c r="K28" i="14" s="1"/>
  <c r="E28" i="14"/>
  <c r="D28" i="14"/>
  <c r="AD27" i="14"/>
  <c r="AC27" i="14"/>
  <c r="AE27" i="14" s="1"/>
  <c r="AB27" i="14"/>
  <c r="Y27" i="14"/>
  <c r="X27" i="14"/>
  <c r="S27" i="14"/>
  <c r="T27" i="14" s="1"/>
  <c r="P27" i="14"/>
  <c r="O27" i="14"/>
  <c r="K27" i="14"/>
  <c r="J27" i="14"/>
  <c r="G27" i="14"/>
  <c r="F27" i="14"/>
  <c r="E27" i="14"/>
  <c r="X26" i="14"/>
  <c r="O26" i="14"/>
  <c r="J26" i="14"/>
  <c r="F26" i="14"/>
  <c r="F38" i="14" s="1"/>
  <c r="E26" i="14"/>
  <c r="Y26" i="14" s="1"/>
  <c r="D26" i="14"/>
  <c r="Z25" i="14"/>
  <c r="Q25" i="14"/>
  <c r="H25" i="14"/>
  <c r="E25" i="14"/>
  <c r="D25" i="14"/>
  <c r="A25" i="14"/>
  <c r="A26" i="14" s="1"/>
  <c r="A27" i="14" s="1"/>
  <c r="A28" i="14" s="1"/>
  <c r="A29" i="14" s="1"/>
  <c r="A30" i="14" s="1"/>
  <c r="A31" i="14" s="1"/>
  <c r="A32" i="14" s="1"/>
  <c r="A33" i="14" s="1"/>
  <c r="A34" i="14" s="1"/>
  <c r="A35" i="14" s="1"/>
  <c r="A36" i="14" s="1"/>
  <c r="A37" i="14" s="1"/>
  <c r="A38" i="14" s="1"/>
  <c r="A41" i="14" s="1"/>
  <c r="A42" i="14" s="1"/>
  <c r="A43" i="14" s="1"/>
  <c r="A44" i="14" s="1"/>
  <c r="A45" i="14" s="1"/>
  <c r="A46" i="14" s="1"/>
  <c r="A47" i="14" s="1"/>
  <c r="A48" i="14" s="1"/>
  <c r="A49" i="14" s="1"/>
  <c r="A50" i="14" s="1"/>
  <c r="A51" i="14" s="1"/>
  <c r="A52" i="14" s="1"/>
  <c r="A53" i="14" s="1"/>
  <c r="A54" i="14" s="1"/>
  <c r="AA22" i="14"/>
  <c r="X22" i="14"/>
  <c r="R22" i="14"/>
  <c r="AB21" i="14"/>
  <c r="AC21" i="14" s="1"/>
  <c r="Y21" i="14"/>
  <c r="X21" i="14"/>
  <c r="V21" i="14"/>
  <c r="S21" i="14"/>
  <c r="T21" i="14" s="1"/>
  <c r="U21" i="14" s="1"/>
  <c r="O21" i="14"/>
  <c r="I21" i="14"/>
  <c r="E21" i="14"/>
  <c r="AB20" i="14"/>
  <c r="AC20" i="14" s="1"/>
  <c r="Y20" i="14"/>
  <c r="X20" i="14"/>
  <c r="S20" i="14"/>
  <c r="T20" i="14" s="1"/>
  <c r="V20" i="14" s="1"/>
  <c r="P20" i="14"/>
  <c r="O20" i="14"/>
  <c r="I20" i="14"/>
  <c r="J20" i="14" s="1"/>
  <c r="K20" i="14" s="1"/>
  <c r="M20" i="14" s="1"/>
  <c r="E20" i="14"/>
  <c r="AB19" i="14"/>
  <c r="X19" i="14"/>
  <c r="S19" i="14"/>
  <c r="O19" i="14"/>
  <c r="I19" i="14"/>
  <c r="E19" i="14"/>
  <c r="AB18" i="14"/>
  <c r="AC18" i="14" s="1"/>
  <c r="Y18" i="14"/>
  <c r="X18" i="14"/>
  <c r="U18" i="14"/>
  <c r="S18" i="14"/>
  <c r="T18" i="14" s="1"/>
  <c r="V18" i="14" s="1"/>
  <c r="P18" i="14"/>
  <c r="O18" i="14"/>
  <c r="L18" i="14"/>
  <c r="I18" i="14"/>
  <c r="E18" i="14"/>
  <c r="G18" i="14" s="1"/>
  <c r="AB17" i="14"/>
  <c r="X17" i="14"/>
  <c r="S17" i="14"/>
  <c r="O17" i="14"/>
  <c r="I17" i="14"/>
  <c r="F17" i="14"/>
  <c r="E17" i="14"/>
  <c r="AB16" i="14"/>
  <c r="AC16" i="14" s="1"/>
  <c r="Y16" i="14"/>
  <c r="X16" i="14"/>
  <c r="U16" i="14"/>
  <c r="S16" i="14"/>
  <c r="T16" i="14" s="1"/>
  <c r="V16" i="14" s="1"/>
  <c r="P16" i="14"/>
  <c r="O16" i="14"/>
  <c r="I16" i="14"/>
  <c r="E16" i="14"/>
  <c r="G16" i="14" s="1"/>
  <c r="AB15" i="14"/>
  <c r="X15" i="14"/>
  <c r="S15" i="14"/>
  <c r="P15" i="14"/>
  <c r="O15" i="14"/>
  <c r="I15" i="14"/>
  <c r="F15" i="14"/>
  <c r="E15" i="14"/>
  <c r="AB14" i="14"/>
  <c r="AC14" i="14" s="1"/>
  <c r="Y14" i="14"/>
  <c r="X14" i="14"/>
  <c r="S14" i="14"/>
  <c r="T14" i="14" s="1"/>
  <c r="P14" i="14"/>
  <c r="O14" i="14"/>
  <c r="I14" i="14"/>
  <c r="E14" i="14"/>
  <c r="AB13" i="14"/>
  <c r="X13" i="14"/>
  <c r="S13" i="14"/>
  <c r="P13" i="14"/>
  <c r="O13" i="14"/>
  <c r="I13" i="14"/>
  <c r="E13" i="14"/>
  <c r="AB12" i="14"/>
  <c r="AC12" i="14" s="1"/>
  <c r="Y12" i="14"/>
  <c r="X12" i="14"/>
  <c r="U12" i="14"/>
  <c r="S12" i="14"/>
  <c r="T12" i="14" s="1"/>
  <c r="V12" i="14" s="1"/>
  <c r="P12" i="14"/>
  <c r="O12" i="14"/>
  <c r="I12" i="14"/>
  <c r="J12" i="14" s="1"/>
  <c r="K12" i="14" s="1"/>
  <c r="M12" i="14" s="1"/>
  <c r="E12" i="14"/>
  <c r="D12" i="14"/>
  <c r="D44" i="14" s="1"/>
  <c r="AB11" i="14"/>
  <c r="X11" i="14"/>
  <c r="S11" i="14"/>
  <c r="O11" i="14"/>
  <c r="I11" i="14"/>
  <c r="F11" i="14"/>
  <c r="E11" i="14"/>
  <c r="D11" i="14"/>
  <c r="AB10" i="14"/>
  <c r="Y10" i="14"/>
  <c r="X10" i="14"/>
  <c r="S10" i="14"/>
  <c r="P10" i="14"/>
  <c r="O10" i="14"/>
  <c r="O22" i="14" s="1"/>
  <c r="I10" i="14"/>
  <c r="E10" i="14"/>
  <c r="A10" i="14"/>
  <c r="A11" i="14" s="1"/>
  <c r="A12" i="14" s="1"/>
  <c r="A13" i="14" s="1"/>
  <c r="A14" i="14" s="1"/>
  <c r="A15" i="14" s="1"/>
  <c r="A16" i="14" s="1"/>
  <c r="A17" i="14" s="1"/>
  <c r="A18" i="14" s="1"/>
  <c r="A19" i="14" s="1"/>
  <c r="A20" i="14" s="1"/>
  <c r="A21" i="14" s="1"/>
  <c r="A22" i="14" s="1"/>
  <c r="I9" i="14"/>
  <c r="I22" i="14" s="1"/>
  <c r="E9" i="14"/>
  <c r="D36" i="13"/>
  <c r="F35" i="13"/>
  <c r="G34" i="13"/>
  <c r="E30" i="13"/>
  <c r="D30" i="13"/>
  <c r="D24" i="13"/>
  <c r="F22" i="13"/>
  <c r="A16" i="13"/>
  <c r="A22" i="13" s="1"/>
  <c r="A23" i="13" s="1"/>
  <c r="A24" i="13" s="1"/>
  <c r="A25" i="13" s="1"/>
  <c r="A28" i="13" s="1"/>
  <c r="A29" i="13" s="1"/>
  <c r="A30" i="13" s="1"/>
  <c r="A31" i="13" s="1"/>
  <c r="A34" i="13" s="1"/>
  <c r="A35" i="13" s="1"/>
  <c r="A36" i="13" s="1"/>
  <c r="A37" i="13" s="1"/>
  <c r="A15" i="13"/>
  <c r="G13" i="13"/>
  <c r="A12" i="13"/>
  <c r="A13" i="13" s="1"/>
  <c r="A14" i="13" s="1"/>
  <c r="A10" i="13"/>
  <c r="A11" i="13" s="1"/>
  <c r="A2" i="14"/>
  <c r="F78" i="12"/>
  <c r="D78" i="12"/>
  <c r="E76" i="12"/>
  <c r="G75" i="12"/>
  <c r="G78" i="12" s="1"/>
  <c r="H29" i="13" s="1"/>
  <c r="F75" i="12"/>
  <c r="E75" i="12"/>
  <c r="D75" i="12"/>
  <c r="C65" i="12"/>
  <c r="C75" i="12" s="1"/>
  <c r="G54" i="12"/>
  <c r="H23" i="13" s="1"/>
  <c r="C52" i="12"/>
  <c r="G51" i="12"/>
  <c r="F51" i="12"/>
  <c r="F54" i="12" s="1"/>
  <c r="G23" i="13" s="1"/>
  <c r="D51" i="12"/>
  <c r="D54" i="12" s="1"/>
  <c r="E50" i="12"/>
  <c r="C50" i="12" s="1"/>
  <c r="E43" i="12"/>
  <c r="D32" i="12"/>
  <c r="G29" i="12"/>
  <c r="G32" i="12" s="1"/>
  <c r="F29" i="12"/>
  <c r="F32" i="12" s="1"/>
  <c r="G35" i="9" s="1"/>
  <c r="E29" i="12"/>
  <c r="E32" i="12" s="1"/>
  <c r="E11" i="12" s="1"/>
  <c r="D29" i="12"/>
  <c r="C29" i="12"/>
  <c r="C32" i="12" s="1"/>
  <c r="A29" i="12"/>
  <c r="A30" i="12" s="1"/>
  <c r="A31" i="12" s="1"/>
  <c r="A32" i="12" s="1"/>
  <c r="A43" i="12" s="1"/>
  <c r="A44" i="12" s="1"/>
  <c r="A45" i="12" s="1"/>
  <c r="A46" i="12" s="1"/>
  <c r="A47" i="12" s="1"/>
  <c r="A48" i="12" s="1"/>
  <c r="A49" i="12" s="1"/>
  <c r="A50" i="12" s="1"/>
  <c r="A51" i="12" s="1"/>
  <c r="A52" i="12" s="1"/>
  <c r="A53" i="12" s="1"/>
  <c r="A54" i="12" s="1"/>
  <c r="A65" i="12" s="1"/>
  <c r="A66" i="12" s="1"/>
  <c r="A67" i="12" s="1"/>
  <c r="A68" i="12" s="1"/>
  <c r="A69" i="12" s="1"/>
  <c r="A70" i="12" s="1"/>
  <c r="A71" i="12" s="1"/>
  <c r="A72" i="12" s="1"/>
  <c r="A73" i="12" s="1"/>
  <c r="A74" i="12" s="1"/>
  <c r="A75" i="12" s="1"/>
  <c r="A76" i="12" s="1"/>
  <c r="A77" i="12" s="1"/>
  <c r="A78" i="12" s="1"/>
  <c r="G11" i="12"/>
  <c r="G10" i="12"/>
  <c r="A10" i="12"/>
  <c r="A11" i="12" s="1"/>
  <c r="A12" i="12" s="1"/>
  <c r="A19" i="12" s="1"/>
  <c r="A20" i="12" s="1"/>
  <c r="A21" i="12" s="1"/>
  <c r="A22" i="12" s="1"/>
  <c r="A23" i="12" s="1"/>
  <c r="A24" i="12" s="1"/>
  <c r="A25" i="12" s="1"/>
  <c r="A26" i="12" s="1"/>
  <c r="A27" i="12" s="1"/>
  <c r="A28" i="12" s="1"/>
  <c r="G9" i="12"/>
  <c r="G12" i="12" s="1"/>
  <c r="G78" i="11"/>
  <c r="G10" i="11" s="1"/>
  <c r="F78" i="11"/>
  <c r="D78" i="11"/>
  <c r="E76" i="11"/>
  <c r="C76" i="11"/>
  <c r="G75" i="11"/>
  <c r="F75" i="11"/>
  <c r="E75" i="11"/>
  <c r="E78" i="11" s="1"/>
  <c r="D75" i="11"/>
  <c r="C65" i="11"/>
  <c r="C75" i="11" s="1"/>
  <c r="C78" i="11" s="1"/>
  <c r="E54" i="11"/>
  <c r="C52" i="11"/>
  <c r="G51" i="11"/>
  <c r="G54" i="11" s="1"/>
  <c r="F51" i="11"/>
  <c r="F54" i="11" s="1"/>
  <c r="G22" i="13" s="1"/>
  <c r="E51" i="11"/>
  <c r="D51" i="11"/>
  <c r="D54" i="11" s="1"/>
  <c r="C51" i="11"/>
  <c r="C54" i="11" s="1"/>
  <c r="C50" i="11"/>
  <c r="E43" i="11"/>
  <c r="C43" i="11"/>
  <c r="D32" i="11"/>
  <c r="G29" i="11"/>
  <c r="G32" i="11" s="1"/>
  <c r="F29" i="11"/>
  <c r="F32" i="11" s="1"/>
  <c r="E29" i="11"/>
  <c r="E32" i="11" s="1"/>
  <c r="F34" i="13" s="1"/>
  <c r="D29" i="11"/>
  <c r="C29" i="11"/>
  <c r="C32" i="11" s="1"/>
  <c r="A26" i="11"/>
  <c r="A27" i="11" s="1"/>
  <c r="A28" i="11" s="1"/>
  <c r="A29" i="11" s="1"/>
  <c r="A30" i="11" s="1"/>
  <c r="A31" i="11" s="1"/>
  <c r="A32" i="11" s="1"/>
  <c r="A43" i="11" s="1"/>
  <c r="A44" i="11" s="1"/>
  <c r="A45" i="11" s="1"/>
  <c r="A46" i="11" s="1"/>
  <c r="A47" i="11" s="1"/>
  <c r="A48" i="11" s="1"/>
  <c r="A49" i="11" s="1"/>
  <c r="A50" i="11" s="1"/>
  <c r="A51" i="11" s="1"/>
  <c r="A52" i="11" s="1"/>
  <c r="A53" i="11" s="1"/>
  <c r="A54" i="11" s="1"/>
  <c r="A65" i="11" s="1"/>
  <c r="A66" i="11" s="1"/>
  <c r="A67" i="11" s="1"/>
  <c r="A68" i="11" s="1"/>
  <c r="A69" i="11" s="1"/>
  <c r="A70" i="11" s="1"/>
  <c r="A71" i="11" s="1"/>
  <c r="A72" i="11" s="1"/>
  <c r="A73" i="11" s="1"/>
  <c r="A74" i="11" s="1"/>
  <c r="A75" i="11" s="1"/>
  <c r="A76" i="11" s="1"/>
  <c r="A77" i="11" s="1"/>
  <c r="A78" i="11" s="1"/>
  <c r="C19" i="11"/>
  <c r="A19" i="11"/>
  <c r="A20" i="11" s="1"/>
  <c r="A21" i="11" s="1"/>
  <c r="A22" i="11" s="1"/>
  <c r="A23" i="11" s="1"/>
  <c r="A24" i="11" s="1"/>
  <c r="A25" i="11" s="1"/>
  <c r="F11" i="11"/>
  <c r="E11" i="11"/>
  <c r="A10" i="11"/>
  <c r="A11" i="11" s="1"/>
  <c r="A12" i="11" s="1"/>
  <c r="F9" i="11"/>
  <c r="E53" i="10"/>
  <c r="L52" i="10"/>
  <c r="J52" i="10"/>
  <c r="H52" i="10"/>
  <c r="E52" i="10"/>
  <c r="J51" i="10"/>
  <c r="H51" i="10"/>
  <c r="E51" i="10"/>
  <c r="L51" i="10" s="1"/>
  <c r="L50" i="10"/>
  <c r="J50" i="10"/>
  <c r="E50" i="10"/>
  <c r="H50" i="10" s="1"/>
  <c r="H49" i="10"/>
  <c r="E49" i="10"/>
  <c r="J48" i="10"/>
  <c r="H48" i="10"/>
  <c r="E48" i="10"/>
  <c r="L48" i="10" s="1"/>
  <c r="J47" i="10"/>
  <c r="H47" i="10"/>
  <c r="E47" i="10"/>
  <c r="L47" i="10" s="1"/>
  <c r="E46" i="10"/>
  <c r="J45" i="10"/>
  <c r="H45" i="10"/>
  <c r="E45" i="10"/>
  <c r="L45" i="10" s="1"/>
  <c r="L44" i="10"/>
  <c r="J44" i="10"/>
  <c r="H44" i="10"/>
  <c r="E44" i="10"/>
  <c r="H43" i="10"/>
  <c r="E43" i="10"/>
  <c r="L42" i="10"/>
  <c r="J42" i="10"/>
  <c r="E42" i="10"/>
  <c r="H42" i="10" s="1"/>
  <c r="D42" i="10"/>
  <c r="J41" i="10"/>
  <c r="I41" i="10"/>
  <c r="I54" i="10" s="1"/>
  <c r="G41" i="10"/>
  <c r="G54" i="10" s="1"/>
  <c r="F41" i="10"/>
  <c r="F54" i="10" s="1"/>
  <c r="E36" i="9" s="1"/>
  <c r="E41" i="10"/>
  <c r="G38" i="10"/>
  <c r="L37" i="10"/>
  <c r="J37" i="10"/>
  <c r="E37" i="10"/>
  <c r="H37" i="10" s="1"/>
  <c r="E36" i="10"/>
  <c r="L35" i="10"/>
  <c r="J35" i="10"/>
  <c r="H35" i="10"/>
  <c r="E35" i="10"/>
  <c r="E34" i="10"/>
  <c r="L33" i="10"/>
  <c r="J33" i="10"/>
  <c r="E33" i="10"/>
  <c r="H33" i="10" s="1"/>
  <c r="H32" i="10"/>
  <c r="E32" i="10"/>
  <c r="L31" i="10"/>
  <c r="J31" i="10"/>
  <c r="H31" i="10"/>
  <c r="E31" i="10"/>
  <c r="H30" i="10"/>
  <c r="E30" i="10"/>
  <c r="L29" i="10"/>
  <c r="J29" i="10"/>
  <c r="E29" i="10"/>
  <c r="H29" i="10" s="1"/>
  <c r="A29" i="10"/>
  <c r="A30" i="10" s="1"/>
  <c r="A31" i="10" s="1"/>
  <c r="A32" i="10" s="1"/>
  <c r="A33" i="10" s="1"/>
  <c r="A34" i="10" s="1"/>
  <c r="A35" i="10" s="1"/>
  <c r="A36" i="10" s="1"/>
  <c r="A37" i="10" s="1"/>
  <c r="A38" i="10" s="1"/>
  <c r="A41" i="10" s="1"/>
  <c r="A42" i="10" s="1"/>
  <c r="A43" i="10" s="1"/>
  <c r="A44" i="10" s="1"/>
  <c r="A45" i="10" s="1"/>
  <c r="A46" i="10" s="1"/>
  <c r="A47" i="10" s="1"/>
  <c r="A48" i="10" s="1"/>
  <c r="A49" i="10" s="1"/>
  <c r="A50" i="10" s="1"/>
  <c r="A51" i="10" s="1"/>
  <c r="A52" i="10" s="1"/>
  <c r="A53" i="10" s="1"/>
  <c r="A54" i="10" s="1"/>
  <c r="H28" i="10"/>
  <c r="E28" i="10"/>
  <c r="L27" i="10"/>
  <c r="J27" i="10"/>
  <c r="H27" i="10"/>
  <c r="E27" i="10"/>
  <c r="A27" i="10"/>
  <c r="A28" i="10" s="1"/>
  <c r="H26" i="10"/>
  <c r="E26" i="10"/>
  <c r="D26" i="10"/>
  <c r="K25" i="10"/>
  <c r="K38" i="10" s="1"/>
  <c r="H25" i="10"/>
  <c r="G25" i="10"/>
  <c r="F25" i="10"/>
  <c r="F38" i="10" s="1"/>
  <c r="E30" i="9" s="1"/>
  <c r="E25" i="10"/>
  <c r="D25" i="10"/>
  <c r="D41" i="10" s="1"/>
  <c r="I22" i="10"/>
  <c r="L21" i="10"/>
  <c r="J21" i="10"/>
  <c r="H21" i="10"/>
  <c r="G21" i="10"/>
  <c r="F21" i="14" s="1"/>
  <c r="F21" i="10"/>
  <c r="E21" i="10"/>
  <c r="L20" i="10"/>
  <c r="J20" i="10"/>
  <c r="H20" i="10"/>
  <c r="G20" i="10"/>
  <c r="F20" i="14" s="1"/>
  <c r="F20" i="10"/>
  <c r="E20" i="10"/>
  <c r="L19" i="10"/>
  <c r="J19" i="10"/>
  <c r="H19" i="10"/>
  <c r="G19" i="10"/>
  <c r="F19" i="14" s="1"/>
  <c r="F19" i="10"/>
  <c r="E19" i="10"/>
  <c r="L18" i="10"/>
  <c r="J18" i="10"/>
  <c r="H18" i="10"/>
  <c r="G18" i="10"/>
  <c r="F18" i="14" s="1"/>
  <c r="J18" i="14" s="1"/>
  <c r="K18" i="14" s="1"/>
  <c r="M18" i="14" s="1"/>
  <c r="F18" i="10"/>
  <c r="E18" i="10"/>
  <c r="L17" i="10"/>
  <c r="J17" i="10"/>
  <c r="H17" i="10"/>
  <c r="G17" i="10"/>
  <c r="F17" i="10"/>
  <c r="E17" i="10"/>
  <c r="L16" i="10"/>
  <c r="J16" i="10"/>
  <c r="H16" i="10"/>
  <c r="G16" i="10"/>
  <c r="F16" i="14" s="1"/>
  <c r="F16" i="10"/>
  <c r="E16" i="10"/>
  <c r="L15" i="10"/>
  <c r="J15" i="10"/>
  <c r="H15" i="10"/>
  <c r="G15" i="10"/>
  <c r="F15" i="10"/>
  <c r="E15" i="10"/>
  <c r="L14" i="10"/>
  <c r="J14" i="10"/>
  <c r="H14" i="10"/>
  <c r="G14" i="10"/>
  <c r="F14" i="14" s="1"/>
  <c r="J14" i="14" s="1"/>
  <c r="K14" i="14" s="1"/>
  <c r="M14" i="14" s="1"/>
  <c r="F14" i="10"/>
  <c r="E14" i="10"/>
  <c r="L13" i="10"/>
  <c r="J13" i="10"/>
  <c r="H13" i="10"/>
  <c r="G13" i="10"/>
  <c r="F13" i="14" s="1"/>
  <c r="F22" i="14" s="1"/>
  <c r="E24" i="13" s="1"/>
  <c r="F13" i="10"/>
  <c r="E13" i="10"/>
  <c r="L12" i="10"/>
  <c r="J12" i="10"/>
  <c r="H12" i="10"/>
  <c r="G12" i="10"/>
  <c r="F12" i="14" s="1"/>
  <c r="F12" i="10"/>
  <c r="E12" i="10"/>
  <c r="L11" i="10"/>
  <c r="J11" i="10"/>
  <c r="H11" i="10"/>
  <c r="G11" i="10"/>
  <c r="F11" i="10"/>
  <c r="E11" i="10"/>
  <c r="D11" i="10"/>
  <c r="D12" i="10" s="1"/>
  <c r="L10" i="10"/>
  <c r="J10" i="10"/>
  <c r="H10" i="10"/>
  <c r="G10" i="10"/>
  <c r="F10" i="14" s="1"/>
  <c r="J10" i="14" s="1"/>
  <c r="F10" i="10"/>
  <c r="E10" i="10"/>
  <c r="A10" i="10"/>
  <c r="A11" i="10" s="1"/>
  <c r="A12" i="10" s="1"/>
  <c r="A13" i="10" s="1"/>
  <c r="A14" i="10" s="1"/>
  <c r="A15" i="10" s="1"/>
  <c r="A16" i="10" s="1"/>
  <c r="A17" i="10" s="1"/>
  <c r="A18" i="10" s="1"/>
  <c r="A19" i="10" s="1"/>
  <c r="A20" i="10" s="1"/>
  <c r="A21" i="10" s="1"/>
  <c r="A22" i="10" s="1"/>
  <c r="A25" i="10" s="1"/>
  <c r="A26" i="10" s="1"/>
  <c r="I9" i="10"/>
  <c r="J9" i="10" s="1"/>
  <c r="J22" i="10" s="1"/>
  <c r="G24" i="9" s="1"/>
  <c r="F9" i="9" s="1"/>
  <c r="E9" i="10"/>
  <c r="D36" i="9"/>
  <c r="F35" i="9"/>
  <c r="G34" i="9"/>
  <c r="F34" i="9"/>
  <c r="D34" i="9"/>
  <c r="H29" i="9"/>
  <c r="D29" i="9"/>
  <c r="D35" i="9" s="1"/>
  <c r="H28" i="9"/>
  <c r="G28" i="9"/>
  <c r="D28" i="9"/>
  <c r="A25" i="9"/>
  <c r="A28" i="9" s="1"/>
  <c r="A29" i="9" s="1"/>
  <c r="A30" i="9" s="1"/>
  <c r="A31" i="9" s="1"/>
  <c r="A34" i="9" s="1"/>
  <c r="A35" i="9" s="1"/>
  <c r="A36" i="9" s="1"/>
  <c r="A37" i="9" s="1"/>
  <c r="D24" i="9"/>
  <c r="D30" i="9" s="1"/>
  <c r="H23" i="9"/>
  <c r="G23" i="9"/>
  <c r="H22" i="9"/>
  <c r="E22" i="9"/>
  <c r="A22" i="9"/>
  <c r="A23" i="9" s="1"/>
  <c r="A24" i="9" s="1"/>
  <c r="A14" i="9"/>
  <c r="A15" i="9" s="1"/>
  <c r="A16" i="9" s="1"/>
  <c r="G13" i="9"/>
  <c r="G11" i="9"/>
  <c r="F11" i="9"/>
  <c r="E11" i="9"/>
  <c r="A10" i="9"/>
  <c r="A11" i="9" s="1"/>
  <c r="A12" i="9" s="1"/>
  <c r="A13" i="9" s="1"/>
  <c r="A2" i="9"/>
  <c r="A2" i="10" s="1"/>
  <c r="H23" i="8"/>
  <c r="H24" i="8" s="1"/>
  <c r="H25" i="8" s="1"/>
  <c r="H26" i="8" s="1"/>
  <c r="H27" i="8" s="1"/>
  <c r="H28" i="8" s="1"/>
  <c r="H29" i="8" s="1"/>
  <c r="H30" i="8" s="1"/>
  <c r="H31" i="8" s="1"/>
  <c r="H32" i="8" s="1"/>
  <c r="H22" i="8"/>
  <c r="G21" i="8"/>
  <c r="A10" i="8"/>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9" i="8"/>
  <c r="A8" i="8"/>
  <c r="C54" i="7"/>
  <c r="E53" i="7"/>
  <c r="E52" i="7"/>
  <c r="E51" i="7"/>
  <c r="E50" i="7"/>
  <c r="I31" i="7"/>
  <c r="H31" i="7"/>
  <c r="G31" i="7"/>
  <c r="J30" i="7"/>
  <c r="J29" i="7"/>
  <c r="J28" i="7"/>
  <c r="J27" i="7"/>
  <c r="J26" i="7"/>
  <c r="J25" i="7"/>
  <c r="D25" i="6"/>
  <c r="B23" i="6"/>
  <c r="A10" i="6"/>
  <c r="A13" i="6" s="1"/>
  <c r="P41" i="5"/>
  <c r="P34" i="5"/>
  <c r="P23" i="5"/>
  <c r="L23" i="5"/>
  <c r="H23" i="5"/>
  <c r="D23" i="5"/>
  <c r="B23" i="5"/>
  <c r="Q22" i="5"/>
  <c r="Q21" i="5"/>
  <c r="Q20" i="5"/>
  <c r="O23" i="5"/>
  <c r="O25" i="5" s="1"/>
  <c r="N23" i="5"/>
  <c r="M23" i="5"/>
  <c r="K23" i="5"/>
  <c r="J23" i="5"/>
  <c r="I23" i="5"/>
  <c r="G23" i="5"/>
  <c r="G25" i="5" s="1"/>
  <c r="E23" i="5"/>
  <c r="Q17" i="5"/>
  <c r="M15" i="5"/>
  <c r="M25" i="5" s="1"/>
  <c r="J15" i="5"/>
  <c r="J25" i="5" s="1"/>
  <c r="I15" i="5"/>
  <c r="I25" i="5" s="1"/>
  <c r="E15" i="5"/>
  <c r="D15" i="5"/>
  <c r="D25" i="5" s="1"/>
  <c r="Q14" i="5"/>
  <c r="P15" i="5"/>
  <c r="O15" i="5"/>
  <c r="N15" i="5"/>
  <c r="N25" i="5" s="1"/>
  <c r="L15" i="5"/>
  <c r="L25" i="5" s="1"/>
  <c r="K15" i="5"/>
  <c r="H15" i="5"/>
  <c r="G15" i="5"/>
  <c r="F15" i="5"/>
  <c r="Q12" i="5"/>
  <c r="Q11" i="5"/>
  <c r="E162" i="4"/>
  <c r="E164" i="4" s="1"/>
  <c r="E167" i="4" s="1"/>
  <c r="E160" i="4"/>
  <c r="H148" i="4"/>
  <c r="E144" i="4"/>
  <c r="G136" i="4"/>
  <c r="G135" i="4"/>
  <c r="G134" i="4"/>
  <c r="G133" i="4"/>
  <c r="G132" i="4"/>
  <c r="G131" i="4"/>
  <c r="G130" i="4"/>
  <c r="G129" i="4"/>
  <c r="G128" i="4"/>
  <c r="G127" i="4"/>
  <c r="G126" i="4"/>
  <c r="G125" i="4"/>
  <c r="G124" i="4"/>
  <c r="G138" i="4" s="1"/>
  <c r="G112" i="4"/>
  <c r="I107" i="4"/>
  <c r="L100" i="4"/>
  <c r="E230" i="1" s="1"/>
  <c r="I89" i="4"/>
  <c r="E68" i="4"/>
  <c r="D67" i="4"/>
  <c r="D66" i="4"/>
  <c r="D65" i="4"/>
  <c r="D63" i="4"/>
  <c r="D62" i="4"/>
  <c r="G51" i="4"/>
  <c r="C51" i="4"/>
  <c r="A49" i="4" s="1"/>
  <c r="H44" i="4"/>
  <c r="G44" i="4"/>
  <c r="E83" i="1" s="1"/>
  <c r="J83" i="1" s="1"/>
  <c r="H196" i="1" s="1"/>
  <c r="F44" i="4"/>
  <c r="F26" i="4"/>
  <c r="E94" i="1" s="1"/>
  <c r="C10" i="4"/>
  <c r="G7" i="4"/>
  <c r="E86" i="1" s="1"/>
  <c r="J86" i="1" s="1"/>
  <c r="H197" i="1" s="1"/>
  <c r="G5" i="4"/>
  <c r="E105" i="3"/>
  <c r="E104" i="3"/>
  <c r="E101" i="3"/>
  <c r="E100" i="3"/>
  <c r="F106" i="3"/>
  <c r="E97" i="3"/>
  <c r="E96" i="3"/>
  <c r="E93" i="3"/>
  <c r="E89" i="3"/>
  <c r="E86" i="3"/>
  <c r="E85" i="3"/>
  <c r="E82" i="3"/>
  <c r="E81" i="3"/>
  <c r="F90" i="3"/>
  <c r="E72" i="1" s="1"/>
  <c r="J72" i="1" s="1"/>
  <c r="E78" i="3"/>
  <c r="E77" i="3"/>
  <c r="E71" i="3"/>
  <c r="E70" i="3"/>
  <c r="E67" i="3"/>
  <c r="E66" i="3"/>
  <c r="E63" i="3"/>
  <c r="E62" i="3"/>
  <c r="F74" i="3"/>
  <c r="E52" i="3"/>
  <c r="E51" i="3"/>
  <c r="E48" i="3"/>
  <c r="E47" i="3"/>
  <c r="E44" i="3"/>
  <c r="E43" i="3"/>
  <c r="F53" i="3"/>
  <c r="E40" i="3"/>
  <c r="E36" i="3"/>
  <c r="E33" i="3"/>
  <c r="E32" i="3"/>
  <c r="E29" i="3"/>
  <c r="E28" i="3"/>
  <c r="F37" i="3"/>
  <c r="E67" i="1" s="1"/>
  <c r="E25" i="3"/>
  <c r="E24" i="3"/>
  <c r="E98" i="3"/>
  <c r="A9" i="3"/>
  <c r="A10" i="3" s="1"/>
  <c r="A11" i="3" s="1"/>
  <c r="A12" i="3" s="1"/>
  <c r="A13" i="3" s="1"/>
  <c r="A14" i="3" s="1"/>
  <c r="A15" i="3" s="1"/>
  <c r="A16" i="3" s="1"/>
  <c r="A17" i="3" s="1"/>
  <c r="A18" i="3" s="1"/>
  <c r="A19" i="3" s="1"/>
  <c r="A20" i="3" s="1"/>
  <c r="F21" i="3"/>
  <c r="E61" i="3"/>
  <c r="A8" i="3"/>
  <c r="C46" i="2"/>
  <c r="D33" i="2"/>
  <c r="C32" i="2"/>
  <c r="C31" i="2"/>
  <c r="F29" i="2"/>
  <c r="F33" i="2" s="1"/>
  <c r="E29" i="2"/>
  <c r="E33" i="2" s="1"/>
  <c r="D29" i="2"/>
  <c r="C28" i="2"/>
  <c r="C27" i="2"/>
  <c r="C25" i="2"/>
  <c r="C29" i="2" s="1"/>
  <c r="C33" i="2" s="1"/>
  <c r="C35" i="2" s="1"/>
  <c r="A12" i="2"/>
  <c r="A13" i="2" s="1"/>
  <c r="A9" i="2"/>
  <c r="D6" i="2"/>
  <c r="D15" i="2" s="1"/>
  <c r="E42" i="1" s="1"/>
  <c r="E137" i="1"/>
  <c r="C221" i="1"/>
  <c r="C199" i="1"/>
  <c r="G15" i="6"/>
  <c r="H188" i="1"/>
  <c r="G14" i="6" s="1"/>
  <c r="E188" i="1"/>
  <c r="D14" i="6" s="1"/>
  <c r="C185" i="1"/>
  <c r="E183" i="1"/>
  <c r="J174" i="1"/>
  <c r="C174" i="1"/>
  <c r="J173" i="1"/>
  <c r="C173" i="1"/>
  <c r="E143" i="1"/>
  <c r="C140" i="1"/>
  <c r="D136" i="1"/>
  <c r="E134" i="1"/>
  <c r="G133" i="1"/>
  <c r="J132" i="1"/>
  <c r="H129" i="1"/>
  <c r="J129" i="1" s="1"/>
  <c r="G129" i="1"/>
  <c r="H128" i="1"/>
  <c r="J128" i="1" s="1"/>
  <c r="C126" i="1"/>
  <c r="J123" i="1"/>
  <c r="E123" i="1"/>
  <c r="H122" i="1"/>
  <c r="J122" i="1" s="1"/>
  <c r="E124" i="1"/>
  <c r="C121" i="1"/>
  <c r="H117" i="1"/>
  <c r="J117" i="1" s="1"/>
  <c r="E117" i="1"/>
  <c r="H116" i="1"/>
  <c r="J116" i="1" s="1"/>
  <c r="E116" i="1"/>
  <c r="H115" i="1"/>
  <c r="J115" i="1" s="1"/>
  <c r="E115" i="1"/>
  <c r="H114" i="1"/>
  <c r="J114" i="1" s="1"/>
  <c r="E113" i="1"/>
  <c r="J113" i="1" s="1"/>
  <c r="J112" i="1"/>
  <c r="E118" i="1"/>
  <c r="C94" i="1"/>
  <c r="E93" i="1"/>
  <c r="C93" i="1"/>
  <c r="C91" i="1"/>
  <c r="E89" i="1"/>
  <c r="H85" i="1"/>
  <c r="H84" i="1" s="1"/>
  <c r="G85" i="1"/>
  <c r="G84" i="1"/>
  <c r="E82" i="1"/>
  <c r="C80" i="1"/>
  <c r="A2" i="4" s="1"/>
  <c r="H72" i="1"/>
  <c r="G72" i="1"/>
  <c r="G71" i="1"/>
  <c r="G89" i="1" s="1"/>
  <c r="G93" i="1" s="1"/>
  <c r="H67" i="1"/>
  <c r="A66" i="1"/>
  <c r="A67" i="1" s="1"/>
  <c r="M57" i="1"/>
  <c r="M101" i="1" s="1"/>
  <c r="M165" i="1" s="1"/>
  <c r="M209" i="1" s="1"/>
  <c r="A45" i="1"/>
  <c r="A43" i="1"/>
  <c r="G42" i="1"/>
  <c r="C42" i="1"/>
  <c r="A42" i="1"/>
  <c r="D45" i="1" s="1"/>
  <c r="D27" i="1"/>
  <c r="D16" i="1"/>
  <c r="D17" i="1" s="1"/>
  <c r="D18" i="1" s="1"/>
  <c r="D19" i="1" s="1"/>
  <c r="F55" i="3" l="1"/>
  <c r="E66" i="1"/>
  <c r="F51" i="7"/>
  <c r="G51" i="7" s="1"/>
  <c r="F50" i="7"/>
  <c r="G50" i="7" s="1"/>
  <c r="G54" i="7" s="1"/>
  <c r="J67" i="1"/>
  <c r="J77" i="1" s="1"/>
  <c r="E77" i="1"/>
  <c r="K25" i="5"/>
  <c r="G22" i="8"/>
  <c r="E92" i="1"/>
  <c r="E95" i="1" s="1"/>
  <c r="D20" i="6"/>
  <c r="D24" i="6" s="1"/>
  <c r="D28" i="6" s="1"/>
  <c r="E147" i="1"/>
  <c r="J147" i="1" s="1"/>
  <c r="E141" i="1"/>
  <c r="E146" i="1" s="1"/>
  <c r="A68" i="1"/>
  <c r="A70" i="1" s="1"/>
  <c r="A71" i="1" s="1"/>
  <c r="H34" i="13"/>
  <c r="G11" i="11"/>
  <c r="K41" i="10"/>
  <c r="K54" i="10" s="1"/>
  <c r="H34" i="9"/>
  <c r="D21" i="3"/>
  <c r="A21" i="3"/>
  <c r="E71" i="1"/>
  <c r="E73" i="1" s="1"/>
  <c r="F108" i="3"/>
  <c r="A14" i="6"/>
  <c r="A15" i="6" s="1"/>
  <c r="A16" i="6" s="1"/>
  <c r="A17" i="6" s="1"/>
  <c r="A19" i="6" s="1"/>
  <c r="A20" i="6" s="1"/>
  <c r="J84" i="1"/>
  <c r="C15" i="2"/>
  <c r="A15" i="2"/>
  <c r="D42" i="1" s="1"/>
  <c r="E27" i="3"/>
  <c r="E35" i="3"/>
  <c r="E42" i="3"/>
  <c r="E50" i="3"/>
  <c r="E69" i="3"/>
  <c r="E84" i="3"/>
  <c r="E99" i="3"/>
  <c r="Q13" i="5"/>
  <c r="Q15" i="5" s="1"/>
  <c r="E25" i="5"/>
  <c r="H35" i="13"/>
  <c r="H35" i="9"/>
  <c r="G35" i="13"/>
  <c r="AC11" i="14"/>
  <c r="T11" i="14"/>
  <c r="G11" i="14"/>
  <c r="Y11" i="14"/>
  <c r="P11" i="14"/>
  <c r="U20" i="14"/>
  <c r="V27" i="14"/>
  <c r="U27" i="14"/>
  <c r="D76" i="1"/>
  <c r="E30" i="3"/>
  <c r="E45" i="3"/>
  <c r="E64" i="3"/>
  <c r="E72" i="3"/>
  <c r="E79" i="3"/>
  <c r="E87" i="3"/>
  <c r="E94" i="3"/>
  <c r="E102" i="3"/>
  <c r="D68" i="4"/>
  <c r="E84" i="1" s="1"/>
  <c r="L49" i="10"/>
  <c r="J49" i="10"/>
  <c r="F11" i="12"/>
  <c r="G25" i="9"/>
  <c r="H41" i="10"/>
  <c r="C76" i="12"/>
  <c r="E78" i="12"/>
  <c r="S22" i="14"/>
  <c r="T10" i="14"/>
  <c r="L36" i="10"/>
  <c r="J36" i="10"/>
  <c r="H36" i="10"/>
  <c r="E28" i="13"/>
  <c r="E28" i="9"/>
  <c r="G17" i="14"/>
  <c r="Y17" i="14"/>
  <c r="P17" i="14"/>
  <c r="Y52" i="14"/>
  <c r="P52" i="14"/>
  <c r="G52" i="14"/>
  <c r="M53" i="14"/>
  <c r="L53" i="14"/>
  <c r="C68" i="1"/>
  <c r="E31" i="3"/>
  <c r="E46" i="3"/>
  <c r="E65" i="3"/>
  <c r="E73" i="3"/>
  <c r="E80" i="3"/>
  <c r="E88" i="3"/>
  <c r="E95" i="3"/>
  <c r="E103" i="3"/>
  <c r="H25" i="5"/>
  <c r="P25" i="5"/>
  <c r="D28" i="10"/>
  <c r="D44" i="10" s="1"/>
  <c r="D13" i="10"/>
  <c r="E35" i="13"/>
  <c r="E35" i="9"/>
  <c r="E37" i="9" s="1"/>
  <c r="V14" i="14"/>
  <c r="U14" i="14"/>
  <c r="T19" i="14"/>
  <c r="L20" i="14"/>
  <c r="AE20" i="14"/>
  <c r="AD20" i="14"/>
  <c r="K26" i="14"/>
  <c r="J38" i="14"/>
  <c r="A3" i="14"/>
  <c r="A3" i="13" s="1"/>
  <c r="B2" i="12" s="1"/>
  <c r="B2" i="11" s="1"/>
  <c r="A3" i="9"/>
  <c r="A3" i="10" s="1"/>
  <c r="C172" i="1"/>
  <c r="E26" i="3"/>
  <c r="E34" i="3"/>
  <c r="E41" i="3"/>
  <c r="E49" i="3"/>
  <c r="E68" i="3"/>
  <c r="E83" i="3"/>
  <c r="L34" i="10"/>
  <c r="J34" i="10"/>
  <c r="H34" i="10"/>
  <c r="H38" i="10" s="1"/>
  <c r="F30" i="9" s="1"/>
  <c r="J53" i="10"/>
  <c r="L53" i="10"/>
  <c r="H53" i="10"/>
  <c r="L12" i="14"/>
  <c r="AE12" i="14"/>
  <c r="AD12" i="14"/>
  <c r="AD21" i="14"/>
  <c r="AE21" i="14"/>
  <c r="F23" i="5"/>
  <c r="F25" i="5" s="1"/>
  <c r="Q19" i="5"/>
  <c r="Q23" i="5" s="1"/>
  <c r="E189" i="1" s="1"/>
  <c r="F28" i="13"/>
  <c r="E10" i="11"/>
  <c r="F28" i="9"/>
  <c r="AE18" i="14"/>
  <c r="AD18" i="14"/>
  <c r="AE53" i="14"/>
  <c r="AD53" i="14"/>
  <c r="L25" i="10"/>
  <c r="E34" i="13"/>
  <c r="E34" i="9"/>
  <c r="G19" i="14"/>
  <c r="Y19" i="14"/>
  <c r="P19" i="14"/>
  <c r="AE37" i="14"/>
  <c r="AD37" i="14"/>
  <c r="D27" i="10"/>
  <c r="D43" i="10" s="1"/>
  <c r="L43" i="10"/>
  <c r="J43" i="10"/>
  <c r="AB22" i="14"/>
  <c r="AC10" i="14"/>
  <c r="G12" i="14"/>
  <c r="G21" i="14"/>
  <c r="P21" i="14"/>
  <c r="Z26" i="14"/>
  <c r="L29" i="14"/>
  <c r="M29" i="14"/>
  <c r="E22" i="13"/>
  <c r="F9" i="10"/>
  <c r="F22" i="9"/>
  <c r="E9" i="11"/>
  <c r="E12" i="11" s="1"/>
  <c r="G14" i="14"/>
  <c r="Z27" i="14"/>
  <c r="K10" i="14"/>
  <c r="L30" i="10"/>
  <c r="J30" i="10"/>
  <c r="L32" i="10"/>
  <c r="J32" i="10"/>
  <c r="H46" i="10"/>
  <c r="L46" i="10"/>
  <c r="J46" i="10"/>
  <c r="J54" i="10" s="1"/>
  <c r="G36" i="9" s="1"/>
  <c r="G37" i="9" s="1"/>
  <c r="G22" i="9"/>
  <c r="Q9" i="14"/>
  <c r="G29" i="9"/>
  <c r="G29" i="13"/>
  <c r="F10" i="12"/>
  <c r="AC13" i="14"/>
  <c r="T13" i="14"/>
  <c r="G13" i="14"/>
  <c r="Y13" i="14"/>
  <c r="L14" i="14"/>
  <c r="AE14" i="14"/>
  <c r="AD14" i="14"/>
  <c r="J16" i="14"/>
  <c r="K16" i="14" s="1"/>
  <c r="G20" i="14"/>
  <c r="L26" i="10"/>
  <c r="J26" i="10"/>
  <c r="L28" i="10"/>
  <c r="J28" i="10"/>
  <c r="Z9" i="14"/>
  <c r="Z10" i="14" s="1"/>
  <c r="H22" i="13"/>
  <c r="G9" i="11"/>
  <c r="G12" i="11" s="1"/>
  <c r="K9" i="10"/>
  <c r="K22" i="10" s="1"/>
  <c r="G28" i="13"/>
  <c r="F10" i="11"/>
  <c r="F12" i="11" s="1"/>
  <c r="I25" i="10"/>
  <c r="G10" i="14"/>
  <c r="AC15" i="14"/>
  <c r="T15" i="14"/>
  <c r="G15" i="14"/>
  <c r="Y15" i="14"/>
  <c r="AE16" i="14"/>
  <c r="AD16" i="14"/>
  <c r="T17" i="14"/>
  <c r="M27" i="14"/>
  <c r="L27" i="14"/>
  <c r="J11" i="14"/>
  <c r="K11" i="14" s="1"/>
  <c r="D13" i="14"/>
  <c r="J15" i="14"/>
  <c r="K15" i="14" s="1"/>
  <c r="AC17" i="14"/>
  <c r="J19" i="14"/>
  <c r="K19" i="14" s="1"/>
  <c r="G26" i="14"/>
  <c r="AD28" i="14"/>
  <c r="AE28" i="14"/>
  <c r="L31" i="14"/>
  <c r="M31" i="14"/>
  <c r="M50" i="14"/>
  <c r="L50" i="14"/>
  <c r="AC52" i="14"/>
  <c r="C43" i="12"/>
  <c r="C51" i="12" s="1"/>
  <c r="C54" i="12" s="1"/>
  <c r="E51" i="12"/>
  <c r="E54" i="12" s="1"/>
  <c r="C78" i="12"/>
  <c r="O38" i="14"/>
  <c r="S26" i="14"/>
  <c r="L28" i="14"/>
  <c r="M28" i="14"/>
  <c r="V30" i="14"/>
  <c r="U30" i="14"/>
  <c r="AE45" i="14"/>
  <c r="AD45" i="14"/>
  <c r="V53" i="14"/>
  <c r="U53" i="14"/>
  <c r="F9" i="12"/>
  <c r="F12" i="12" s="1"/>
  <c r="H28" i="13"/>
  <c r="Q10" i="14"/>
  <c r="D43" i="14"/>
  <c r="D27" i="14"/>
  <c r="J13" i="14"/>
  <c r="K13" i="14" s="1"/>
  <c r="J17" i="14"/>
  <c r="K17" i="14" s="1"/>
  <c r="AC19" i="14"/>
  <c r="J21" i="14"/>
  <c r="K21" i="14" s="1"/>
  <c r="P22" i="14"/>
  <c r="P26" i="14"/>
  <c r="AD29" i="14"/>
  <c r="AE29" i="14"/>
  <c r="Y33" i="14"/>
  <c r="Y38" i="14" s="1"/>
  <c r="S54" i="14"/>
  <c r="T42" i="14"/>
  <c r="AE48" i="14"/>
  <c r="AD48" i="14"/>
  <c r="M33" i="14"/>
  <c r="L33" i="14"/>
  <c r="V36" i="14"/>
  <c r="U36" i="14"/>
  <c r="M37" i="14"/>
  <c r="L37" i="14"/>
  <c r="V44" i="14"/>
  <c r="U44" i="14"/>
  <c r="M45" i="14"/>
  <c r="L45" i="14"/>
  <c r="AE46" i="14"/>
  <c r="AD46" i="14"/>
  <c r="V51" i="14"/>
  <c r="U51" i="14"/>
  <c r="M52" i="14"/>
  <c r="L52" i="14"/>
  <c r="J54" i="14"/>
  <c r="Z8" i="19"/>
  <c r="Z28" i="14"/>
  <c r="Z29" i="14" s="1"/>
  <c r="Z30" i="14" s="1"/>
  <c r="Z31" i="14" s="1"/>
  <c r="Z32" i="14" s="1"/>
  <c r="V31" i="14"/>
  <c r="V33" i="14"/>
  <c r="U33" i="14"/>
  <c r="AC42" i="14"/>
  <c r="AB54" i="14"/>
  <c r="M49" i="14"/>
  <c r="L49" i="14"/>
  <c r="U50" i="14"/>
  <c r="AE33" i="14"/>
  <c r="AD33" i="14"/>
  <c r="AD34" i="14"/>
  <c r="M46" i="14"/>
  <c r="L46" i="14"/>
  <c r="V49" i="14"/>
  <c r="U49" i="14"/>
  <c r="AE30" i="14"/>
  <c r="AD30" i="14"/>
  <c r="AE31" i="14"/>
  <c r="U32" i="14"/>
  <c r="Y36" i="14"/>
  <c r="P36" i="14"/>
  <c r="G36" i="14"/>
  <c r="AC36" i="14"/>
  <c r="V37" i="14"/>
  <c r="U37" i="14"/>
  <c r="Y44" i="14"/>
  <c r="P44" i="14"/>
  <c r="G44" i="14"/>
  <c r="AC44" i="14"/>
  <c r="V45" i="14"/>
  <c r="U45" i="14"/>
  <c r="M48" i="14"/>
  <c r="L48" i="14"/>
  <c r="AE49" i="14"/>
  <c r="AD49" i="14"/>
  <c r="AD50" i="14"/>
  <c r="AE51" i="14"/>
  <c r="AD51" i="14"/>
  <c r="T52" i="14"/>
  <c r="W33" i="15"/>
  <c r="AB26" i="14"/>
  <c r="X38" i="14"/>
  <c r="T28" i="14"/>
  <c r="Z42" i="14"/>
  <c r="Z43" i="14" s="1"/>
  <c r="M47" i="14"/>
  <c r="M30" i="14"/>
  <c r="L30" i="14"/>
  <c r="M36" i="14"/>
  <c r="L36" i="14"/>
  <c r="K54" i="14"/>
  <c r="M42" i="14"/>
  <c r="M54" i="14" s="1"/>
  <c r="M44" i="14"/>
  <c r="L44" i="14"/>
  <c r="V46" i="14"/>
  <c r="U46" i="14"/>
  <c r="V48" i="14"/>
  <c r="U48" i="14"/>
  <c r="M51" i="14"/>
  <c r="L51" i="14"/>
  <c r="Y33" i="16"/>
  <c r="G33" i="14"/>
  <c r="P33" i="14"/>
  <c r="G49" i="14"/>
  <c r="P49" i="14"/>
  <c r="G31" i="14"/>
  <c r="P31" i="14"/>
  <c r="L35" i="14"/>
  <c r="U35" i="14"/>
  <c r="AD35" i="14"/>
  <c r="L43" i="14"/>
  <c r="L54" i="14" s="1"/>
  <c r="U43" i="14"/>
  <c r="AD43" i="14"/>
  <c r="G47" i="14"/>
  <c r="P47" i="14"/>
  <c r="Y47" i="14"/>
  <c r="X54" i="14"/>
  <c r="G34" i="14"/>
  <c r="P34" i="14"/>
  <c r="G42" i="14"/>
  <c r="P42" i="14"/>
  <c r="G50" i="14"/>
  <c r="P50" i="14"/>
  <c r="O54" i="14"/>
  <c r="G29" i="14"/>
  <c r="P29" i="14"/>
  <c r="G37" i="14"/>
  <c r="P37" i="14"/>
  <c r="G45" i="14"/>
  <c r="P45" i="14"/>
  <c r="G53" i="14"/>
  <c r="P53" i="14"/>
  <c r="F54" i="14"/>
  <c r="E36" i="13" s="1"/>
  <c r="G32" i="14"/>
  <c r="P32" i="14"/>
  <c r="G48" i="14"/>
  <c r="P48" i="14"/>
  <c r="AE44" i="14" l="1"/>
  <c r="AD44" i="14"/>
  <c r="E23" i="13"/>
  <c r="E25" i="13" s="1"/>
  <c r="E23" i="9"/>
  <c r="G38" i="14"/>
  <c r="H26" i="14"/>
  <c r="H27" i="14" s="1"/>
  <c r="H28" i="14" s="1"/>
  <c r="H29" i="14" s="1"/>
  <c r="H30" i="14" s="1"/>
  <c r="H31" i="14" s="1"/>
  <c r="H32" i="14" s="1"/>
  <c r="H33" i="14" s="1"/>
  <c r="H34" i="14" s="1"/>
  <c r="H35" i="14" s="1"/>
  <c r="H36" i="14" s="1"/>
  <c r="H37" i="14" s="1"/>
  <c r="V15" i="14"/>
  <c r="U15" i="14"/>
  <c r="M16" i="14"/>
  <c r="L16" i="14"/>
  <c r="AC22" i="14"/>
  <c r="AE10" i="14"/>
  <c r="AD10" i="14"/>
  <c r="L9" i="10"/>
  <c r="L22" i="10" s="1"/>
  <c r="H24" i="9" s="1"/>
  <c r="E9" i="12"/>
  <c r="F23" i="13"/>
  <c r="F23" i="9"/>
  <c r="AE13" i="14"/>
  <c r="AD13" i="14"/>
  <c r="H54" i="10"/>
  <c r="F36" i="9" s="1"/>
  <c r="F37" i="9" s="1"/>
  <c r="G23" i="8"/>
  <c r="V42" i="14"/>
  <c r="T54" i="14"/>
  <c r="U42" i="14"/>
  <c r="L21" i="14"/>
  <c r="M21" i="14"/>
  <c r="AE52" i="14"/>
  <c r="AD52" i="14"/>
  <c r="M19" i="14"/>
  <c r="L19" i="14"/>
  <c r="AE15" i="14"/>
  <c r="AD15" i="14"/>
  <c r="K38" i="14"/>
  <c r="M26" i="14"/>
  <c r="M38" i="14" s="1"/>
  <c r="L26" i="14"/>
  <c r="L38" i="14" s="1"/>
  <c r="E37" i="13"/>
  <c r="AE19" i="14"/>
  <c r="AD19" i="14"/>
  <c r="S38" i="14"/>
  <c r="T26" i="14"/>
  <c r="AD17" i="14"/>
  <c r="AE17" i="14"/>
  <c r="G22" i="14"/>
  <c r="H10" i="14"/>
  <c r="G31" i="9"/>
  <c r="F10" i="9" s="1"/>
  <c r="F12" i="9" s="1"/>
  <c r="D14" i="10"/>
  <c r="D29" i="10"/>
  <c r="D45" i="10" s="1"/>
  <c r="T22" i="14"/>
  <c r="V10" i="14"/>
  <c r="U10" i="14"/>
  <c r="Q11" i="14"/>
  <c r="Q12" i="14" s="1"/>
  <c r="Q13" i="14" s="1"/>
  <c r="Q14" i="14" s="1"/>
  <c r="Q15" i="14" s="1"/>
  <c r="Q16" i="14" s="1"/>
  <c r="B24" i="6"/>
  <c r="A21" i="6"/>
  <c r="P38" i="14"/>
  <c r="Q26" i="14"/>
  <c r="Q27" i="14" s="1"/>
  <c r="Q28" i="14" s="1"/>
  <c r="Q44" i="14"/>
  <c r="Q45" i="14" s="1"/>
  <c r="Q46" i="14" s="1"/>
  <c r="Q47" i="14" s="1"/>
  <c r="Q48" i="14" s="1"/>
  <c r="Q49" i="14" s="1"/>
  <c r="Q50" i="14" s="1"/>
  <c r="Q51" i="14" s="1"/>
  <c r="Q52" i="14" s="1"/>
  <c r="Q53" i="14" s="1"/>
  <c r="P54" i="14"/>
  <c r="Q42" i="14"/>
  <c r="Q43" i="14" s="1"/>
  <c r="Z44" i="14"/>
  <c r="Z45" i="14" s="1"/>
  <c r="Z46" i="14" s="1"/>
  <c r="Z47" i="14" s="1"/>
  <c r="Z48" i="14" s="1"/>
  <c r="Z49" i="14" s="1"/>
  <c r="Z50" i="14" s="1"/>
  <c r="Z51" i="14" s="1"/>
  <c r="Z52" i="14" s="1"/>
  <c r="Z53" i="14" s="1"/>
  <c r="Z33" i="14"/>
  <c r="Z34" i="14" s="1"/>
  <c r="Z35" i="14" s="1"/>
  <c r="Z36" i="14" s="1"/>
  <c r="Z37" i="14" s="1"/>
  <c r="L17" i="14"/>
  <c r="M17" i="14"/>
  <c r="M15" i="14"/>
  <c r="L15" i="14"/>
  <c r="V17" i="14"/>
  <c r="U17" i="14"/>
  <c r="G9" i="10"/>
  <c r="F22" i="10"/>
  <c r="E24" i="9" s="1"/>
  <c r="Z11" i="14"/>
  <c r="Z12" i="14" s="1"/>
  <c r="B22" i="6"/>
  <c r="U28" i="14"/>
  <c r="V28" i="14"/>
  <c r="AA8" i="19"/>
  <c r="AB8" i="19" s="1"/>
  <c r="AC8" i="19" s="1"/>
  <c r="AC18" i="19" s="1"/>
  <c r="G54" i="14"/>
  <c r="H42" i="14"/>
  <c r="H43" i="14" s="1"/>
  <c r="H44" i="14" s="1"/>
  <c r="H45" i="14" s="1"/>
  <c r="H46" i="14" s="1"/>
  <c r="H47" i="14" s="1"/>
  <c r="H48" i="14" s="1"/>
  <c r="H49" i="14" s="1"/>
  <c r="H50" i="14" s="1"/>
  <c r="H51" i="14" s="1"/>
  <c r="H52" i="14" s="1"/>
  <c r="H53" i="14" s="1"/>
  <c r="N42" i="14"/>
  <c r="N43" i="14" s="1"/>
  <c r="N44" i="14" s="1"/>
  <c r="N45" i="14" s="1"/>
  <c r="N46" i="14" s="1"/>
  <c r="N47" i="14" s="1"/>
  <c r="N48" i="14" s="1"/>
  <c r="N49" i="14" s="1"/>
  <c r="N50" i="14" s="1"/>
  <c r="N51" i="14" s="1"/>
  <c r="N52" i="14" s="1"/>
  <c r="N53" i="14" s="1"/>
  <c r="F36" i="13" s="1"/>
  <c r="F37" i="13" s="1"/>
  <c r="E11" i="13" s="1"/>
  <c r="AB38" i="14"/>
  <c r="AC26" i="14"/>
  <c r="AC54" i="14"/>
  <c r="AE42" i="14"/>
  <c r="AE54" i="14" s="1"/>
  <c r="AD42" i="14"/>
  <c r="M13" i="14"/>
  <c r="L13" i="14"/>
  <c r="D45" i="14"/>
  <c r="D29" i="14"/>
  <c r="D14" i="14"/>
  <c r="J25" i="10"/>
  <c r="J38" i="10" s="1"/>
  <c r="G30" i="9" s="1"/>
  <c r="I38" i="10"/>
  <c r="Z13" i="14"/>
  <c r="Z14" i="14" s="1"/>
  <c r="K22" i="14"/>
  <c r="M10" i="14"/>
  <c r="M22" i="14" s="1"/>
  <c r="L10" i="14"/>
  <c r="F29" i="13"/>
  <c r="E10" i="12"/>
  <c r="F29" i="9"/>
  <c r="F31" i="9" s="1"/>
  <c r="E10" i="9" s="1"/>
  <c r="H11" i="14"/>
  <c r="H12" i="14" s="1"/>
  <c r="H13" i="14" s="1"/>
  <c r="H14" i="14" s="1"/>
  <c r="H15" i="14" s="1"/>
  <c r="H16" i="14" s="1"/>
  <c r="H17" i="14" s="1"/>
  <c r="H18" i="14" s="1"/>
  <c r="H19" i="14" s="1"/>
  <c r="H20" i="14" s="1"/>
  <c r="H21" i="14" s="1"/>
  <c r="P36" i="5"/>
  <c r="H187" i="1" s="1"/>
  <c r="Q25" i="5"/>
  <c r="E187" i="1"/>
  <c r="A72" i="1"/>
  <c r="D15" i="6"/>
  <c r="L11" i="14"/>
  <c r="M11" i="14"/>
  <c r="J22" i="14"/>
  <c r="V19" i="14"/>
  <c r="U19" i="14"/>
  <c r="V11" i="14"/>
  <c r="U11" i="14"/>
  <c r="E68" i="1"/>
  <c r="E76" i="1"/>
  <c r="E78" i="1" s="1"/>
  <c r="J172" i="1"/>
  <c r="J175" i="1" s="1"/>
  <c r="J177" i="1" s="1"/>
  <c r="Q29" i="14"/>
  <c r="Q30" i="14" s="1"/>
  <c r="Q31" i="14" s="1"/>
  <c r="Q32" i="14" s="1"/>
  <c r="Q33" i="14" s="1"/>
  <c r="Q34" i="14" s="1"/>
  <c r="Q35" i="14" s="1"/>
  <c r="Q36" i="14" s="1"/>
  <c r="Q37" i="14" s="1"/>
  <c r="Y54" i="14"/>
  <c r="V52" i="14"/>
  <c r="U52" i="14"/>
  <c r="AE36" i="14"/>
  <c r="AD36" i="14"/>
  <c r="E29" i="9"/>
  <c r="E31" i="9" s="1"/>
  <c r="E29" i="13"/>
  <c r="E31" i="13" s="1"/>
  <c r="Y22" i="14"/>
  <c r="Z15" i="14"/>
  <c r="Z16" i="14" s="1"/>
  <c r="Z17" i="14" s="1"/>
  <c r="Z18" i="14" s="1"/>
  <c r="Z19" i="14" s="1"/>
  <c r="Z20" i="14" s="1"/>
  <c r="Z21" i="14" s="1"/>
  <c r="V13" i="14"/>
  <c r="U13" i="14"/>
  <c r="L38" i="10"/>
  <c r="H30" i="9" s="1"/>
  <c r="H31" i="9" s="1"/>
  <c r="G10" i="9" s="1"/>
  <c r="Q17" i="14"/>
  <c r="Q18" i="14" s="1"/>
  <c r="Q19" i="14" s="1"/>
  <c r="Q20" i="14" s="1"/>
  <c r="Q21" i="14" s="1"/>
  <c r="L41" i="10"/>
  <c r="L54" i="10" s="1"/>
  <c r="H36" i="9" s="1"/>
  <c r="H37" i="9" s="1"/>
  <c r="AD11" i="14"/>
  <c r="AE11" i="14"/>
  <c r="A23" i="3"/>
  <c r="A24" i="3" s="1"/>
  <c r="D46" i="14" l="1"/>
  <c r="D30" i="14"/>
  <c r="D15" i="14"/>
  <c r="AC38" i="14"/>
  <c r="AD26" i="14"/>
  <c r="AD38" i="14" s="1"/>
  <c r="AE26" i="14"/>
  <c r="AE38" i="14" s="1"/>
  <c r="AD8" i="19"/>
  <c r="AJ8" i="19" s="1"/>
  <c r="AJ18" i="19" s="1"/>
  <c r="E146" i="4" s="1"/>
  <c r="E85" i="1" s="1"/>
  <c r="J85" i="1" s="1"/>
  <c r="H198" i="1" s="1"/>
  <c r="U54" i="14"/>
  <c r="AE22" i="14"/>
  <c r="D13" i="6"/>
  <c r="D16" i="6" s="1"/>
  <c r="F187" i="1"/>
  <c r="E13" i="6" s="1"/>
  <c r="I13" i="6" s="1"/>
  <c r="E190" i="1"/>
  <c r="L22" i="14"/>
  <c r="U22" i="14"/>
  <c r="W10" i="14"/>
  <c r="W11" i="14" s="1"/>
  <c r="W12" i="14" s="1"/>
  <c r="W13" i="14" s="1"/>
  <c r="W14" i="14" s="1"/>
  <c r="W15" i="14" s="1"/>
  <c r="W16" i="14" s="1"/>
  <c r="W17" i="14" s="1"/>
  <c r="W18" i="14" s="1"/>
  <c r="W19" i="14" s="1"/>
  <c r="W20" i="14" s="1"/>
  <c r="W21" i="14" s="1"/>
  <c r="G24" i="13" s="1"/>
  <c r="G25" i="13" s="1"/>
  <c r="F9" i="13" s="1"/>
  <c r="V54" i="14"/>
  <c r="G24" i="8"/>
  <c r="F25" i="13"/>
  <c r="E9" i="13" s="1"/>
  <c r="E25" i="9"/>
  <c r="G22" i="10"/>
  <c r="H9" i="10"/>
  <c r="H22" i="10" s="1"/>
  <c r="F24" i="9" s="1"/>
  <c r="E9" i="9" s="1"/>
  <c r="E12" i="9" s="1"/>
  <c r="E16" i="9" s="1"/>
  <c r="V22" i="14"/>
  <c r="E12" i="12"/>
  <c r="H66" i="1"/>
  <c r="H110" i="1"/>
  <c r="H71" i="1"/>
  <c r="J71" i="1" s="1"/>
  <c r="J73" i="1" s="1"/>
  <c r="H121" i="1"/>
  <c r="J121" i="1" s="1"/>
  <c r="F181" i="1"/>
  <c r="H181" i="1" s="1"/>
  <c r="H183" i="1" s="1"/>
  <c r="H89" i="1"/>
  <c r="J187" i="1"/>
  <c r="G13" i="6"/>
  <c r="N10" i="14"/>
  <c r="N11" i="14" s="1"/>
  <c r="N12" i="14" s="1"/>
  <c r="N13" i="14" s="1"/>
  <c r="N14" i="14" s="1"/>
  <c r="N15" i="14" s="1"/>
  <c r="N16" i="14" s="1"/>
  <c r="N17" i="14" s="1"/>
  <c r="N18" i="14" s="1"/>
  <c r="N19" i="14" s="1"/>
  <c r="N20" i="14" s="1"/>
  <c r="N21" i="14" s="1"/>
  <c r="F24" i="13" s="1"/>
  <c r="AD54" i="14"/>
  <c r="AF42" i="14"/>
  <c r="AF43" i="14" s="1"/>
  <c r="AF44" i="14" s="1"/>
  <c r="AF45" i="14" s="1"/>
  <c r="AF46" i="14" s="1"/>
  <c r="AF47" i="14" s="1"/>
  <c r="AF48" i="14" s="1"/>
  <c r="AF49" i="14" s="1"/>
  <c r="AF50" i="14" s="1"/>
  <c r="AF51" i="14" s="1"/>
  <c r="AF52" i="14" s="1"/>
  <c r="AF53" i="14" s="1"/>
  <c r="H36" i="13" s="1"/>
  <c r="H37" i="13" s="1"/>
  <c r="G11" i="13" s="1"/>
  <c r="W42" i="14"/>
  <c r="W43" i="14" s="1"/>
  <c r="W44" i="14" s="1"/>
  <c r="W45" i="14" s="1"/>
  <c r="W46" i="14" s="1"/>
  <c r="W47" i="14" s="1"/>
  <c r="W48" i="14" s="1"/>
  <c r="W49" i="14" s="1"/>
  <c r="W50" i="14" s="1"/>
  <c r="W51" i="14" s="1"/>
  <c r="W52" i="14" s="1"/>
  <c r="W53" i="14" s="1"/>
  <c r="G36" i="13" s="1"/>
  <c r="G37" i="13" s="1"/>
  <c r="F11" i="13" s="1"/>
  <c r="G9" i="9"/>
  <c r="G12" i="9" s="1"/>
  <c r="G16" i="9" s="1"/>
  <c r="H25" i="9"/>
  <c r="A73" i="1"/>
  <c r="A75" i="1" s="1"/>
  <c r="A76" i="1" s="1"/>
  <c r="D77" i="1"/>
  <c r="C73" i="1"/>
  <c r="A25" i="3"/>
  <c r="A26" i="3" s="1"/>
  <c r="A27" i="3" s="1"/>
  <c r="A28" i="3" s="1"/>
  <c r="A29" i="3" s="1"/>
  <c r="A30" i="3" s="1"/>
  <c r="A31" i="3" s="1"/>
  <c r="A32" i="3" s="1"/>
  <c r="A33" i="3" s="1"/>
  <c r="A34" i="3" s="1"/>
  <c r="A35" i="3" s="1"/>
  <c r="A36" i="3" s="1"/>
  <c r="A37" i="3" s="1"/>
  <c r="A22" i="6"/>
  <c r="A23" i="6" s="1"/>
  <c r="A24" i="6" s="1"/>
  <c r="B27" i="6"/>
  <c r="D30" i="10"/>
  <c r="D46" i="10" s="1"/>
  <c r="D15" i="10"/>
  <c r="T38" i="14"/>
  <c r="V26" i="14"/>
  <c r="V38" i="14" s="1"/>
  <c r="U26" i="14"/>
  <c r="AD22" i="14"/>
  <c r="AF10" i="14"/>
  <c r="AF11" i="14" s="1"/>
  <c r="AF12" i="14" s="1"/>
  <c r="AF13" i="14" s="1"/>
  <c r="AF14" i="14" s="1"/>
  <c r="AF15" i="14" s="1"/>
  <c r="AF16" i="14" s="1"/>
  <c r="AF17" i="14" s="1"/>
  <c r="AF18" i="14" s="1"/>
  <c r="AF19" i="14" s="1"/>
  <c r="AF20" i="14" s="1"/>
  <c r="AF21" i="14" s="1"/>
  <c r="H24" i="13" s="1"/>
  <c r="H25" i="13" s="1"/>
  <c r="G9" i="13" s="1"/>
  <c r="N26" i="14"/>
  <c r="N27" i="14" s="1"/>
  <c r="N28" i="14" s="1"/>
  <c r="N29" i="14" s="1"/>
  <c r="N30" i="14" s="1"/>
  <c r="N31" i="14" s="1"/>
  <c r="N32" i="14" s="1"/>
  <c r="N33" i="14" s="1"/>
  <c r="N34" i="14" s="1"/>
  <c r="N35" i="14" s="1"/>
  <c r="N36" i="14" s="1"/>
  <c r="N37" i="14" s="1"/>
  <c r="F30" i="13" s="1"/>
  <c r="F31" i="13" s="1"/>
  <c r="E10" i="13" s="1"/>
  <c r="AF26" i="14" l="1"/>
  <c r="AF27" i="14" s="1"/>
  <c r="AF28" i="14" s="1"/>
  <c r="AF29" i="14" s="1"/>
  <c r="AF30" i="14" s="1"/>
  <c r="AF31" i="14" s="1"/>
  <c r="AF32" i="14" s="1"/>
  <c r="AF33" i="14" s="1"/>
  <c r="AF34" i="14" s="1"/>
  <c r="AF35" i="14" s="1"/>
  <c r="AF36" i="14" s="1"/>
  <c r="AF37" i="14" s="1"/>
  <c r="H30" i="13" s="1"/>
  <c r="H31" i="13" s="1"/>
  <c r="G10" i="13" s="1"/>
  <c r="G12" i="13" s="1"/>
  <c r="G16" i="13" s="1"/>
  <c r="J124" i="1"/>
  <c r="F188" i="1"/>
  <c r="F189" i="1"/>
  <c r="A25" i="6"/>
  <c r="A26" i="6" s="1"/>
  <c r="A27" i="6" s="1"/>
  <c r="B28" i="6"/>
  <c r="U38" i="14"/>
  <c r="W26" i="14"/>
  <c r="W27" i="14" s="1"/>
  <c r="W28" i="14" s="1"/>
  <c r="W29" i="14" s="1"/>
  <c r="W30" i="14" s="1"/>
  <c r="W31" i="14" s="1"/>
  <c r="W32" i="14" s="1"/>
  <c r="W33" i="14" s="1"/>
  <c r="W34" i="14" s="1"/>
  <c r="W35" i="14" s="1"/>
  <c r="W36" i="14" s="1"/>
  <c r="W37" i="14" s="1"/>
  <c r="G30" i="13" s="1"/>
  <c r="G31" i="13" s="1"/>
  <c r="F10" i="13" s="1"/>
  <c r="F12" i="13" s="1"/>
  <c r="J110" i="1"/>
  <c r="H111" i="1"/>
  <c r="J111" i="1" s="1"/>
  <c r="G25" i="8"/>
  <c r="A39" i="3"/>
  <c r="A40" i="3" s="1"/>
  <c r="F25" i="9"/>
  <c r="D31" i="14"/>
  <c r="D47" i="14"/>
  <c r="D16" i="14"/>
  <c r="D37" i="3"/>
  <c r="E12" i="13"/>
  <c r="E16" i="13" s="1"/>
  <c r="H42" i="1"/>
  <c r="J42" i="1" s="1"/>
  <c r="J66" i="1"/>
  <c r="D16" i="10"/>
  <c r="D31" i="10"/>
  <c r="D47" i="10" s="1"/>
  <c r="A77" i="1"/>
  <c r="A78" i="1" s="1"/>
  <c r="D195" i="1"/>
  <c r="C78" i="1"/>
  <c r="J89" i="1"/>
  <c r="H93" i="1"/>
  <c r="J93" i="1" s="1"/>
  <c r="A28" i="6" l="1"/>
  <c r="A29" i="6" s="1"/>
  <c r="A32" i="6" s="1"/>
  <c r="A34" i="6" s="1"/>
  <c r="A35" i="6" s="1"/>
  <c r="A36" i="6" s="1"/>
  <c r="A37" i="6" s="1"/>
  <c r="A38" i="6" s="1"/>
  <c r="A39" i="6" s="1"/>
  <c r="E14" i="6"/>
  <c r="I14" i="6" s="1"/>
  <c r="J188" i="1"/>
  <c r="A41" i="3"/>
  <c r="A42" i="3" s="1"/>
  <c r="A43" i="3" s="1"/>
  <c r="A44" i="3" s="1"/>
  <c r="A45" i="3" s="1"/>
  <c r="A46" i="3" s="1"/>
  <c r="A47" i="3" s="1"/>
  <c r="A48" i="3" s="1"/>
  <c r="A49" i="3" s="1"/>
  <c r="A50" i="3" s="1"/>
  <c r="A51" i="3" s="1"/>
  <c r="A52" i="3" s="1"/>
  <c r="A53" i="3" s="1"/>
  <c r="A80" i="1"/>
  <c r="A81" i="1" s="1"/>
  <c r="D48" i="14"/>
  <c r="D32" i="14"/>
  <c r="D17" i="14"/>
  <c r="G26" i="8"/>
  <c r="E15" i="6"/>
  <c r="I15" i="6" s="1"/>
  <c r="J189" i="1"/>
  <c r="D32" i="10"/>
  <c r="D48" i="10" s="1"/>
  <c r="D17" i="10"/>
  <c r="J76" i="1"/>
  <c r="J68" i="1"/>
  <c r="H68" i="1" s="1"/>
  <c r="J118" i="1"/>
  <c r="D53" i="3" l="1"/>
  <c r="J92" i="1"/>
  <c r="J95" i="1" s="1"/>
  <c r="L7" i="7"/>
  <c r="I16" i="6"/>
  <c r="A55" i="3"/>
  <c r="A60" i="3" s="1"/>
  <c r="A61" i="3" s="1"/>
  <c r="D55" i="3"/>
  <c r="G27" i="8"/>
  <c r="J190" i="1"/>
  <c r="H133" i="1"/>
  <c r="J133" i="1" s="1"/>
  <c r="H94" i="1"/>
  <c r="J94" i="1" s="1"/>
  <c r="H131" i="1"/>
  <c r="J131" i="1" s="1"/>
  <c r="J134" i="1" s="1"/>
  <c r="D49" i="14"/>
  <c r="D33" i="14"/>
  <c r="D18" i="14"/>
  <c r="H195" i="1"/>
  <c r="H199" i="1" s="1"/>
  <c r="J78" i="1"/>
  <c r="D18" i="10"/>
  <c r="D33" i="10"/>
  <c r="D49" i="10" s="1"/>
  <c r="A82" i="1"/>
  <c r="A83" i="1" s="1"/>
  <c r="C29" i="6"/>
  <c r="E138" i="1" l="1"/>
  <c r="D50" i="14"/>
  <c r="D34" i="14"/>
  <c r="D19" i="14"/>
  <c r="H78" i="1"/>
  <c r="J38" i="6"/>
  <c r="L9" i="7"/>
  <c r="G28" i="8"/>
  <c r="A84" i="1"/>
  <c r="A85" i="1" s="1"/>
  <c r="D196" i="1"/>
  <c r="A62" i="3"/>
  <c r="A63" i="3" s="1"/>
  <c r="A64" i="3" s="1"/>
  <c r="A65" i="3" s="1"/>
  <c r="A66" i="3" s="1"/>
  <c r="A67" i="3" s="1"/>
  <c r="A68" i="3" s="1"/>
  <c r="A69" i="3" s="1"/>
  <c r="A70" i="3" s="1"/>
  <c r="A71" i="3" s="1"/>
  <c r="A72" i="3" s="1"/>
  <c r="A73" i="3" s="1"/>
  <c r="A74" i="3" s="1"/>
  <c r="D21" i="6"/>
  <c r="D34" i="10"/>
  <c r="D50" i="10" s="1"/>
  <c r="D19" i="10"/>
  <c r="D74" i="3" l="1"/>
  <c r="F14" i="13"/>
  <c r="F16" i="13" s="1"/>
  <c r="H16" i="13" s="1"/>
  <c r="G28" i="6"/>
  <c r="I28" i="6" s="1"/>
  <c r="F14" i="9"/>
  <c r="F16" i="9" s="1"/>
  <c r="H16" i="9" s="1"/>
  <c r="E81" i="1" s="1"/>
  <c r="E87" i="1" s="1"/>
  <c r="E97" i="1" s="1"/>
  <c r="E151" i="1" s="1"/>
  <c r="E145" i="1" s="1"/>
  <c r="E148" i="1" s="1"/>
  <c r="E153" i="1" s="1"/>
  <c r="H82" i="1"/>
  <c r="J82" i="1" s="1"/>
  <c r="H146" i="1"/>
  <c r="J146" i="1" s="1"/>
  <c r="H81" i="1"/>
  <c r="A76" i="3"/>
  <c r="A77" i="3" s="1"/>
  <c r="D51" i="14"/>
  <c r="D35" i="14"/>
  <c r="D20" i="14"/>
  <c r="D198" i="1"/>
  <c r="A86" i="1"/>
  <c r="D20" i="10"/>
  <c r="D35" i="10"/>
  <c r="D51" i="10" s="1"/>
  <c r="G29" i="8"/>
  <c r="D52" i="14" l="1"/>
  <c r="D36" i="14"/>
  <c r="D21" i="14"/>
  <c r="A78" i="3"/>
  <c r="A79" i="3" s="1"/>
  <c r="A80" i="3" s="1"/>
  <c r="A81" i="3" s="1"/>
  <c r="A82" i="3" s="1"/>
  <c r="A83" i="3" s="1"/>
  <c r="A84" i="3" s="1"/>
  <c r="A85" i="3" s="1"/>
  <c r="A86" i="3" s="1"/>
  <c r="A87" i="3" s="1"/>
  <c r="A88" i="3" s="1"/>
  <c r="A89" i="3" s="1"/>
  <c r="A90" i="3" s="1"/>
  <c r="G30" i="8"/>
  <c r="D197" i="1"/>
  <c r="A87" i="1"/>
  <c r="C87" i="1"/>
  <c r="J81" i="1"/>
  <c r="J87" i="1" s="1"/>
  <c r="J97" i="1" s="1"/>
  <c r="D36" i="10"/>
  <c r="D52" i="10" s="1"/>
  <c r="D21" i="10"/>
  <c r="D37" i="10" s="1"/>
  <c r="D53" i="10" s="1"/>
  <c r="D90" i="3" l="1"/>
  <c r="A92" i="3"/>
  <c r="A93" i="3" s="1"/>
  <c r="J8" i="6"/>
  <c r="J17" i="6" s="1"/>
  <c r="J151" i="1"/>
  <c r="D53" i="14"/>
  <c r="D37" i="14"/>
  <c r="A89" i="1"/>
  <c r="A91" i="1" s="1"/>
  <c r="A92" i="1" s="1"/>
  <c r="G31" i="8"/>
  <c r="A93" i="1" l="1"/>
  <c r="A94" i="1" s="1"/>
  <c r="A95" i="1" s="1"/>
  <c r="A97" i="1" s="1"/>
  <c r="C95" i="1"/>
  <c r="I27" i="6"/>
  <c r="J29" i="6" s="1"/>
  <c r="J32" i="6" s="1"/>
  <c r="D27" i="6"/>
  <c r="D29" i="6" s="1"/>
  <c r="A94" i="3"/>
  <c r="A95" i="3" s="1"/>
  <c r="A96" i="3" s="1"/>
  <c r="A97" i="3" s="1"/>
  <c r="A98" i="3" s="1"/>
  <c r="A99" i="3" s="1"/>
  <c r="A100" i="3" s="1"/>
  <c r="A101" i="3" s="1"/>
  <c r="A102" i="3" s="1"/>
  <c r="A103" i="3" s="1"/>
  <c r="A104" i="3" s="1"/>
  <c r="A105" i="3" s="1"/>
  <c r="A106" i="3" s="1"/>
  <c r="J34" i="6"/>
  <c r="J145" i="1"/>
  <c r="J148" i="1" s="1"/>
  <c r="G32" i="8"/>
  <c r="C97" i="1"/>
  <c r="A108" i="3" l="1"/>
  <c r="A5" i="4" s="1"/>
  <c r="A7" i="4" s="1"/>
  <c r="A9" i="4" s="1"/>
  <c r="A11" i="4" s="1"/>
  <c r="A13" i="4" s="1"/>
  <c r="D108" i="3"/>
  <c r="D106" i="3"/>
  <c r="J35" i="6"/>
  <c r="J36" i="6" s="1"/>
  <c r="J37" i="6" s="1"/>
  <c r="J39" i="6" s="1"/>
  <c r="L11" i="7" s="1"/>
  <c r="J153" i="1"/>
  <c r="G39" i="8"/>
  <c r="G36" i="8"/>
  <c r="A109" i="1"/>
  <c r="A110" i="1" s="1"/>
  <c r="F25" i="7" l="1"/>
  <c r="K25" i="7" s="1"/>
  <c r="F28" i="7"/>
  <c r="K28" i="7" s="1"/>
  <c r="F29" i="7"/>
  <c r="K29" i="7" s="1"/>
  <c r="F30" i="7"/>
  <c r="K30" i="7" s="1"/>
  <c r="F27" i="7"/>
  <c r="K27" i="7" s="1"/>
  <c r="F26" i="7"/>
  <c r="K26" i="7" s="1"/>
  <c r="G40" i="8"/>
  <c r="L6" i="7"/>
  <c r="L8" i="7" s="1"/>
  <c r="L10" i="7" s="1"/>
  <c r="A111" i="1"/>
  <c r="A114" i="1" s="1"/>
  <c r="A115" i="1" s="1"/>
  <c r="A116" i="1" s="1"/>
  <c r="A117" i="1" s="1"/>
  <c r="A118" i="1" s="1"/>
  <c r="A14" i="4"/>
  <c r="A15" i="4" s="1"/>
  <c r="A16" i="4" s="1"/>
  <c r="A17" i="4" s="1"/>
  <c r="A18" i="4" s="1"/>
  <c r="A19" i="4" s="1"/>
  <c r="A20" i="4" s="1"/>
  <c r="A21" i="4" s="1"/>
  <c r="A22" i="4" s="1"/>
  <c r="A23" i="4" s="1"/>
  <c r="A24" i="4" s="1"/>
  <c r="A25" i="4" s="1"/>
  <c r="A26" i="4" s="1"/>
  <c r="A30" i="4" s="1"/>
  <c r="A31" i="4" s="1"/>
  <c r="A120" i="1" l="1"/>
  <c r="A121" i="1" s="1"/>
  <c r="C118" i="1"/>
  <c r="N27" i="7"/>
  <c r="L27" i="7"/>
  <c r="N29" i="7"/>
  <c r="L29" i="7"/>
  <c r="L30" i="7"/>
  <c r="N30" i="7"/>
  <c r="E22" i="7"/>
  <c r="E24" i="7"/>
  <c r="D26" i="4"/>
  <c r="G41" i="8"/>
  <c r="N28" i="7"/>
  <c r="L28" i="7"/>
  <c r="A32" i="4"/>
  <c r="A33" i="4" s="1"/>
  <c r="A34" i="4" s="1"/>
  <c r="A35" i="4" s="1"/>
  <c r="A36" i="4" s="1"/>
  <c r="A37" i="4" s="1"/>
  <c r="A38" i="4" s="1"/>
  <c r="A39" i="4" s="1"/>
  <c r="A40" i="4" s="1"/>
  <c r="A41" i="4" s="1"/>
  <c r="A42" i="4" s="1"/>
  <c r="A43" i="4" s="1"/>
  <c r="A44" i="4" s="1"/>
  <c r="A51" i="4" s="1"/>
  <c r="A58" i="4" s="1"/>
  <c r="A76" i="4" s="1"/>
  <c r="A89" i="4" s="1"/>
  <c r="A100" i="4" s="1"/>
  <c r="A107" i="4" s="1"/>
  <c r="A114" i="4" s="1"/>
  <c r="A124" i="4" s="1"/>
  <c r="A125" i="4" s="1"/>
  <c r="A126" i="4" s="1"/>
  <c r="A127" i="4" s="1"/>
  <c r="A128" i="4" s="1"/>
  <c r="A129" i="4" s="1"/>
  <c r="A130" i="4" s="1"/>
  <c r="A131" i="4" s="1"/>
  <c r="A132" i="4" s="1"/>
  <c r="A133" i="4" s="1"/>
  <c r="A134" i="4" s="1"/>
  <c r="A135" i="4" s="1"/>
  <c r="A136" i="4" s="1"/>
  <c r="A138" i="4" s="1"/>
  <c r="A144" i="4" s="1"/>
  <c r="A146" i="4" s="1"/>
  <c r="A154" i="4" s="1"/>
  <c r="A157" i="4" s="1"/>
  <c r="A158" i="4" s="1"/>
  <c r="L26" i="7"/>
  <c r="N26" i="7"/>
  <c r="N25" i="7"/>
  <c r="L25" i="7"/>
  <c r="G42" i="8" l="1"/>
  <c r="J24" i="7"/>
  <c r="F24" i="7"/>
  <c r="K24" i="7" s="1"/>
  <c r="D44" i="4"/>
  <c r="J22" i="7"/>
  <c r="E23" i="7"/>
  <c r="F22" i="7"/>
  <c r="K22" i="7" s="1"/>
  <c r="A159" i="4"/>
  <c r="A160" i="4" s="1"/>
  <c r="A161" i="4" s="1"/>
  <c r="A162" i="4" s="1"/>
  <c r="A163" i="4" s="1"/>
  <c r="A164" i="4" s="1"/>
  <c r="A165" i="4" s="1"/>
  <c r="A167" i="4" s="1"/>
  <c r="A10" i="5" s="1"/>
  <c r="A11" i="5" s="1"/>
  <c r="C165" i="4"/>
  <c r="A122" i="1"/>
  <c r="A123" i="1" s="1"/>
  <c r="A124" i="1" s="1"/>
  <c r="N22" i="7" l="1"/>
  <c r="L22" i="7"/>
  <c r="J31" i="7"/>
  <c r="A126" i="1"/>
  <c r="A127" i="1" s="1"/>
  <c r="A128" i="1" s="1"/>
  <c r="G43" i="8"/>
  <c r="J23" i="7"/>
  <c r="F23" i="7"/>
  <c r="K23" i="7" s="1"/>
  <c r="N24" i="7"/>
  <c r="L24" i="7"/>
  <c r="C124" i="1"/>
  <c r="A12" i="5"/>
  <c r="A13" i="5" s="1"/>
  <c r="A14" i="5" s="1"/>
  <c r="A15" i="5" s="1"/>
  <c r="C15" i="5"/>
  <c r="G44" i="8" l="1"/>
  <c r="A16" i="5"/>
  <c r="A17" i="5" s="1"/>
  <c r="A18" i="5" s="1"/>
  <c r="A19" i="5" s="1"/>
  <c r="L23" i="7"/>
  <c r="L31" i="7" s="1"/>
  <c r="E155" i="1" s="1"/>
  <c r="N23" i="7"/>
  <c r="A129" i="1"/>
  <c r="A130" i="1" s="1"/>
  <c r="A131" i="1" s="1"/>
  <c r="A132" i="1" s="1"/>
  <c r="A133" i="1" s="1"/>
  <c r="A134" i="1" s="1"/>
  <c r="K31" i="7"/>
  <c r="N31" i="7" s="1"/>
  <c r="J155" i="1" l="1"/>
  <c r="J157" i="1" s="1"/>
  <c r="J38" i="1" s="1"/>
  <c r="E157" i="1"/>
  <c r="A20" i="5"/>
  <c r="A21" i="5" s="1"/>
  <c r="A22" i="5" s="1"/>
  <c r="A23" i="5" s="1"/>
  <c r="A24" i="5" s="1"/>
  <c r="A25" i="5" s="1"/>
  <c r="A26" i="5" s="1"/>
  <c r="A27" i="5" s="1"/>
  <c r="A28" i="5" s="1"/>
  <c r="A136" i="1"/>
  <c r="A137" i="1" s="1"/>
  <c r="C134" i="1"/>
  <c r="B25" i="5"/>
  <c r="G45" i="8"/>
  <c r="A29" i="5" l="1"/>
  <c r="A30" i="5" s="1"/>
  <c r="A31" i="5" s="1"/>
  <c r="A32" i="5" s="1"/>
  <c r="A33" i="5" s="1"/>
  <c r="A34" i="5" s="1"/>
  <c r="C34" i="5"/>
  <c r="C141" i="1"/>
  <c r="A138" i="1"/>
  <c r="C23" i="5"/>
  <c r="G46" i="8"/>
  <c r="E10" i="8"/>
  <c r="H10" i="8" s="1"/>
  <c r="A139" i="1" l="1"/>
  <c r="A140" i="1" s="1"/>
  <c r="A141" i="1" s="1"/>
  <c r="J54" i="8"/>
  <c r="E21" i="8"/>
  <c r="G47" i="8"/>
  <c r="B36" i="5"/>
  <c r="A35" i="5"/>
  <c r="A36" i="5" s="1"/>
  <c r="A37" i="5" s="1"/>
  <c r="A38" i="5" s="1"/>
  <c r="A39" i="5" s="1"/>
  <c r="A40" i="5" l="1"/>
  <c r="A41" i="5" s="1"/>
  <c r="B41" i="5"/>
  <c r="G48" i="8"/>
  <c r="E22" i="8"/>
  <c r="I21" i="8"/>
  <c r="A142" i="1"/>
  <c r="A145" i="1" s="1"/>
  <c r="C146" i="1" l="1"/>
  <c r="E23" i="8"/>
  <c r="I22" i="8"/>
  <c r="L22" i="8" s="1"/>
  <c r="L21" i="8"/>
  <c r="G49" i="8"/>
  <c r="A146" i="1"/>
  <c r="A148" i="1" s="1"/>
  <c r="B35" i="6" l="1"/>
  <c r="A150" i="1"/>
  <c r="A151" i="1" s="1"/>
  <c r="C153" i="1"/>
  <c r="E24" i="8"/>
  <c r="I23" i="8"/>
  <c r="G50" i="8"/>
  <c r="D148" i="1"/>
  <c r="L23" i="8" l="1"/>
  <c r="E25" i="8"/>
  <c r="I24" i="8"/>
  <c r="L24" i="8" s="1"/>
  <c r="A153" i="1"/>
  <c r="B34" i="6"/>
  <c r="C145" i="1"/>
  <c r="A155" i="1" l="1"/>
  <c r="A157" i="1" s="1"/>
  <c r="C157" i="1"/>
  <c r="E26" i="8"/>
  <c r="I25" i="8"/>
  <c r="L25" i="8" s="1"/>
  <c r="E27" i="8" l="1"/>
  <c r="I26" i="8"/>
  <c r="L26" i="8" s="1"/>
  <c r="A170" i="1"/>
  <c r="A172" i="1" s="1"/>
  <c r="D38" i="1"/>
  <c r="A173" i="1" l="1"/>
  <c r="A174" i="1" s="1"/>
  <c r="A175" i="1" s="1"/>
  <c r="C175" i="1"/>
  <c r="E28" i="8"/>
  <c r="I27" i="8"/>
  <c r="L27" i="8" l="1"/>
  <c r="E29" i="8"/>
  <c r="I28" i="8"/>
  <c r="L28" i="8" s="1"/>
  <c r="C177" i="1"/>
  <c r="A177" i="1"/>
  <c r="A179" i="1" s="1"/>
  <c r="A180" i="1" s="1"/>
  <c r="A181" i="1" s="1"/>
  <c r="A182" i="1" l="1"/>
  <c r="A183" i="1" s="1"/>
  <c r="A185" i="1" s="1"/>
  <c r="A187" i="1" s="1"/>
  <c r="E30" i="8"/>
  <c r="I29" i="8"/>
  <c r="L29" i="8" s="1"/>
  <c r="E31" i="8" l="1"/>
  <c r="I30" i="8"/>
  <c r="L30" i="8" s="1"/>
  <c r="A188" i="1"/>
  <c r="A189" i="1" s="1"/>
  <c r="A190" i="1" s="1"/>
  <c r="C139" i="1"/>
  <c r="C190" i="1"/>
  <c r="C183" i="1"/>
  <c r="A195" i="1" l="1"/>
  <c r="A196" i="1" s="1"/>
  <c r="A197" i="1" s="1"/>
  <c r="A198" i="1" s="1"/>
  <c r="A199" i="1" s="1"/>
  <c r="C151" i="1"/>
  <c r="E32" i="8"/>
  <c r="I32" i="8" s="1"/>
  <c r="I31" i="8"/>
  <c r="L31" i="8" s="1"/>
  <c r="L32" i="8" l="1"/>
  <c r="L33" i="8" s="1"/>
  <c r="E36" i="8" s="1"/>
  <c r="I33" i="8"/>
  <c r="E38" i="6"/>
  <c r="G9" i="7"/>
  <c r="I36" i="8" l="1"/>
  <c r="L36" i="8" s="1"/>
  <c r="E39" i="8" l="1"/>
  <c r="J39" i="8"/>
  <c r="J40" i="8" l="1"/>
  <c r="J41" i="8" s="1"/>
  <c r="J42" i="8" s="1"/>
  <c r="J43" i="8" s="1"/>
  <c r="J44" i="8" s="1"/>
  <c r="J45" i="8" s="1"/>
  <c r="J46" i="8" s="1"/>
  <c r="J47" i="8" s="1"/>
  <c r="J48" i="8" s="1"/>
  <c r="J49" i="8" s="1"/>
  <c r="J50" i="8" s="1"/>
  <c r="J53" i="8"/>
  <c r="L39" i="8"/>
  <c r="E40" i="8" s="1"/>
  <c r="I39" i="8"/>
  <c r="J55" i="8" l="1"/>
  <c r="E43" i="1"/>
  <c r="J43" i="1" s="1"/>
  <c r="J45" i="1" s="1"/>
  <c r="L40" i="8"/>
  <c r="E41" i="8" s="1"/>
  <c r="I40" i="8"/>
  <c r="L41" i="8" l="1"/>
  <c r="E42" i="8" s="1"/>
  <c r="I41" i="8"/>
  <c r="L42" i="8" l="1"/>
  <c r="E43" i="8" s="1"/>
  <c r="I42" i="8"/>
  <c r="L43" i="8" l="1"/>
  <c r="E44" i="8" s="1"/>
  <c r="I43" i="8"/>
  <c r="L44" i="8" l="1"/>
  <c r="E45" i="8" s="1"/>
  <c r="I44" i="8"/>
  <c r="L45" i="8" l="1"/>
  <c r="E46" i="8" s="1"/>
  <c r="I45" i="8"/>
  <c r="L46" i="8" l="1"/>
  <c r="E47" i="8" s="1"/>
  <c r="I46" i="8"/>
  <c r="L47" i="8" l="1"/>
  <c r="E48" i="8" s="1"/>
  <c r="I47" i="8"/>
  <c r="L48" i="8" l="1"/>
  <c r="E49" i="8" s="1"/>
  <c r="I48" i="8"/>
  <c r="L49" i="8" l="1"/>
  <c r="E50" i="8" s="1"/>
  <c r="I49" i="8"/>
  <c r="L50" i="8" l="1"/>
  <c r="I50" i="8"/>
  <c r="I51" i="8" s="1"/>
</calcChain>
</file>

<file path=xl/sharedStrings.xml><?xml version="1.0" encoding="utf-8"?>
<sst xmlns="http://schemas.openxmlformats.org/spreadsheetml/2006/main" count="2093" uniqueCount="980">
  <si>
    <t>Appendix III</t>
  </si>
  <si>
    <t>Page 1 of 5</t>
  </si>
  <si>
    <r>
      <t>Rate Formula Template</t>
    </r>
    <r>
      <rPr>
        <strike/>
        <sz val="12"/>
        <color indexed="10"/>
        <rFont val="Arial Narrow"/>
        <family val="2"/>
      </rPr>
      <t xml:space="preserve"> </t>
    </r>
  </si>
  <si>
    <t xml:space="preserve"> </t>
  </si>
  <si>
    <t xml:space="preserve"> Utilizing FERC Form 1 Data</t>
  </si>
  <si>
    <t>Actual Annual Transmission Revenue Requirement</t>
  </si>
  <si>
    <t>Horizon West Transmission, LLC</t>
  </si>
  <si>
    <t xml:space="preserve">                         (Horizon West)</t>
  </si>
  <si>
    <t>Formula Rate Index</t>
  </si>
  <si>
    <t xml:space="preserve">Appendix </t>
  </si>
  <si>
    <t>III</t>
  </si>
  <si>
    <t>Main Body of the Formula</t>
  </si>
  <si>
    <t xml:space="preserve">Attachment </t>
  </si>
  <si>
    <t>Revenue Credit Worksheet</t>
  </si>
  <si>
    <t>Cost Support</t>
  </si>
  <si>
    <t>Incentives Worksheet</t>
  </si>
  <si>
    <t>Transmission Enhancement Worksheet</t>
  </si>
  <si>
    <t>True-Up</t>
  </si>
  <si>
    <t>6a</t>
  </si>
  <si>
    <t>ADIT Projection</t>
  </si>
  <si>
    <t>6b</t>
  </si>
  <si>
    <t>ADIT Projection Proration</t>
  </si>
  <si>
    <t>6c</t>
  </si>
  <si>
    <t>ADIT BOY</t>
  </si>
  <si>
    <t>6d</t>
  </si>
  <si>
    <t>ADIT EOY</t>
  </si>
  <si>
    <t>6e</t>
  </si>
  <si>
    <t>ADIT True up</t>
  </si>
  <si>
    <t>6f</t>
  </si>
  <si>
    <t>ADIT True up proration</t>
  </si>
  <si>
    <t>7</t>
  </si>
  <si>
    <t>Unfunded Reserves</t>
  </si>
  <si>
    <t>CWIP</t>
  </si>
  <si>
    <t>Depreciation Rates</t>
  </si>
  <si>
    <t>Future Use</t>
  </si>
  <si>
    <t>Reg Asset and Abandoned Plant Details</t>
  </si>
  <si>
    <t>Income Tax Adjustment</t>
  </si>
  <si>
    <t xml:space="preserve">Formula Rate - Non-Levelized </t>
  </si>
  <si>
    <t>(1)</t>
  </si>
  <si>
    <t>(2)</t>
  </si>
  <si>
    <t>(3)</t>
  </si>
  <si>
    <t>Line</t>
  </si>
  <si>
    <t>Allocated</t>
  </si>
  <si>
    <t>No.</t>
  </si>
  <si>
    <t>Amount</t>
  </si>
  <si>
    <t xml:space="preserve">GROSS REVENUE REQUIREMENT    </t>
  </si>
  <si>
    <t>12 months</t>
  </si>
  <si>
    <t xml:space="preserve">REVENUE CREDITS </t>
  </si>
  <si>
    <t>Total</t>
  </si>
  <si>
    <t>Allocator</t>
  </si>
  <si>
    <t>True-up Adjustment</t>
  </si>
  <si>
    <t xml:space="preserve">Attach 5, Line 47 </t>
  </si>
  <si>
    <t>DA</t>
  </si>
  <si>
    <t>NET REVENUE REQUIREMENT</t>
  </si>
  <si>
    <t>Page 2 of 5</t>
  </si>
  <si>
    <t xml:space="preserve">                      Horizon West Transmission, LLC</t>
  </si>
  <si>
    <t>(4)</t>
  </si>
  <si>
    <t>(5)</t>
  </si>
  <si>
    <t>Transmission</t>
  </si>
  <si>
    <t>Source</t>
  </si>
  <si>
    <t>Company Total</t>
  </si>
  <si>
    <t xml:space="preserve">                  Allocator</t>
  </si>
  <si>
    <t>(Col 3 times Col 4)</t>
  </si>
  <si>
    <t>RATE BASE:</t>
  </si>
  <si>
    <t>GROSS PLANT IN SERVICE  (Notes M &amp; P)</t>
  </si>
  <si>
    <t xml:space="preserve">  Transmission </t>
  </si>
  <si>
    <t>(Attach 2, line 15)</t>
  </si>
  <si>
    <t>TP</t>
  </si>
  <si>
    <t xml:space="preserve">  General &amp; Intangible</t>
  </si>
  <si>
    <t>(Attach 2, lines 30 &amp; 45)</t>
  </si>
  <si>
    <t>W/S</t>
  </si>
  <si>
    <t>(If line 5&gt;0, GP= line 7, column 5 / line 7, column 3.  If line 5=0, GP=0)</t>
  </si>
  <si>
    <t>GP=</t>
  </si>
  <si>
    <t>ACCUMULATED DEPRECIATION &amp; AMORTIZATION  (Notes M &amp; P)</t>
  </si>
  <si>
    <t>(Attach 2, line 61)</t>
  </si>
  <si>
    <t>(Attach 2, lines 76 &amp; 91)</t>
  </si>
  <si>
    <t>NET PLANT IN SERVICE</t>
  </si>
  <si>
    <t xml:space="preserve">  Transmission</t>
  </si>
  <si>
    <t xml:space="preserve">  General &amp; Intangible </t>
  </si>
  <si>
    <t>(If line 13&gt;0, NP= line 15, column 5 / line 15, column 3.  If line 15=0, NP=0)</t>
  </si>
  <si>
    <t>NP=</t>
  </si>
  <si>
    <t xml:space="preserve">  ADIT</t>
  </si>
  <si>
    <t>(Attach 6a, line 8, column E)</t>
  </si>
  <si>
    <t>NP</t>
  </si>
  <si>
    <t xml:space="preserve">  Account No. 255 (enter negative) (Note F)</t>
  </si>
  <si>
    <t>(Attach 2, line 93)</t>
  </si>
  <si>
    <t xml:space="preserve">  CWIP</t>
  </si>
  <si>
    <t>(Attach 2, line 125, "Incentive" column)</t>
  </si>
  <si>
    <t xml:space="preserve">  Reserves (enter negative)</t>
  </si>
  <si>
    <t>(Attach 2, line 127a)</t>
  </si>
  <si>
    <t xml:space="preserve">  Unamortized Regulatory Assets</t>
  </si>
  <si>
    <t>(Attach 2, line 148) (Note L)</t>
  </si>
  <si>
    <t xml:space="preserve">  Unamortized Abandoned Plant</t>
  </si>
  <si>
    <t>(Attach 2, line 94) (Note K)</t>
  </si>
  <si>
    <t>LAND HELD FOR FUTURE USE</t>
  </si>
  <si>
    <t>(Attach 2, line 126a)</t>
  </si>
  <si>
    <t xml:space="preserve">  CWC  </t>
  </si>
  <si>
    <t>calculated (1/8 * (line 38 less line 33b))</t>
  </si>
  <si>
    <t>(Attach 2, line 146)</t>
  </si>
  <si>
    <t>(Attach 2, line 110)</t>
  </si>
  <si>
    <t>GP</t>
  </si>
  <si>
    <t>Page 3 of 5</t>
  </si>
  <si>
    <t>O&amp;M</t>
  </si>
  <si>
    <t>321.112.b  &amp; (Note O)</t>
  </si>
  <si>
    <t xml:space="preserve">     Less Accounts 565, 561, 561.1, 561.3, and 561.6 to 561.8, and 566</t>
  </si>
  <si>
    <t>321.84.b to 92.b, 96.b &amp; 97.b</t>
  </si>
  <si>
    <t>33a</t>
  </si>
  <si>
    <t xml:space="preserve">     Account 566 excluding Amortization of Regulatory Assets</t>
  </si>
  <si>
    <t>321.85 less line 33b</t>
  </si>
  <si>
    <t>33b</t>
  </si>
  <si>
    <t xml:space="preserve">     Account 566 Amortization of Regulatory Assets</t>
  </si>
  <si>
    <t>(Attach 2, line 147)</t>
  </si>
  <si>
    <t xml:space="preserve">  A&amp;G</t>
  </si>
  <si>
    <t>323.197.b</t>
  </si>
  <si>
    <t xml:space="preserve">     Less EPRI &amp; Reg. Comm. Exp. &amp; Other  Ad.  </t>
  </si>
  <si>
    <t>(Attach 2, lines 128, 129, 131) (Note D)</t>
  </si>
  <si>
    <t xml:space="preserve">     Plus Transmission Related Reg. Comm.  Exp.  </t>
  </si>
  <si>
    <t>(Attach 2, line 129) (Note D)</t>
  </si>
  <si>
    <t xml:space="preserve">     PBOP expense adjustment</t>
  </si>
  <si>
    <t>(Attach 2, line 159)</t>
  </si>
  <si>
    <t>DEPRECIATION EXPENSE  (Notes M &amp; P)</t>
  </si>
  <si>
    <t>336.7.b,d&amp;e</t>
  </si>
  <si>
    <t xml:space="preserve">  General and Intangible</t>
  </si>
  <si>
    <t>336.1.b,d&amp;e + 336.10.b, d&amp;e</t>
  </si>
  <si>
    <t xml:space="preserve">  Amortization of Abandoned Plant</t>
  </si>
  <si>
    <t>(Attach 2, line 95) (Note K)</t>
  </si>
  <si>
    <t xml:space="preserve">  LABOR RELATED</t>
  </si>
  <si>
    <t xml:space="preserve">          Payroll</t>
  </si>
  <si>
    <t>263._.i (enter FN1 line #)</t>
  </si>
  <si>
    <t xml:space="preserve">          Highway and vehicle</t>
  </si>
  <si>
    <t xml:space="preserve">  PLANT RELATED</t>
  </si>
  <si>
    <t xml:space="preserve">         Property</t>
  </si>
  <si>
    <t>263.7.i (enter FN1 line #)</t>
  </si>
  <si>
    <t xml:space="preserve">         Gross Receipts</t>
  </si>
  <si>
    <t>NA</t>
  </si>
  <si>
    <t xml:space="preserve">         Other</t>
  </si>
  <si>
    <t xml:space="preserve">INCOME TAXES          </t>
  </si>
  <si>
    <t xml:space="preserve">     T=1 - {[(1 - SIT) * (1 - FIT)] / (1 - SIT * FIT * p)} =</t>
  </si>
  <si>
    <t xml:space="preserve">     CIT=(T/1-T) * (1-(WCLTD/R)) =</t>
  </si>
  <si>
    <t>Amortized Investment Tax Credit (266.8f) (enter negative)</t>
  </si>
  <si>
    <t>59a</t>
  </si>
  <si>
    <t>Tax Effect of Permanent Differences, including AFUDC Equity (Note Q)</t>
  </si>
  <si>
    <t>(Attach 12, Line 1, column (b))</t>
  </si>
  <si>
    <t>61a</t>
  </si>
  <si>
    <t>Permanent Differences Tax Adjustment</t>
  </si>
  <si>
    <t>Total Income Taxes</t>
  </si>
  <si>
    <t xml:space="preserve">RETURN </t>
  </si>
  <si>
    <t>Return and Income Tax on Incentive Projects</t>
  </si>
  <si>
    <t>(Attach 4, col. K, line 8) (Note N)</t>
  </si>
  <si>
    <t>Page 4 of 5</t>
  </si>
  <si>
    <t>Rate Formula Template</t>
  </si>
  <si>
    <t xml:space="preserve">                   Horizon West Transmission, LLC</t>
  </si>
  <si>
    <t>SUPPORTING CALCULATIONS AND NOTES</t>
  </si>
  <si>
    <t>TRANSMISSION PLANT INCLUDED IN RTO RATES</t>
  </si>
  <si>
    <t>TP=</t>
  </si>
  <si>
    <t>WAGES &amp; SALARY ALLOCATOR   (W&amp;S) (Note I)</t>
  </si>
  <si>
    <t>Form 1 Reference</t>
  </si>
  <si>
    <t>$</t>
  </si>
  <si>
    <t>Allocation</t>
  </si>
  <si>
    <t>354.21.b</t>
  </si>
  <si>
    <t xml:space="preserve">  Other</t>
  </si>
  <si>
    <t>354.24,25,26.b</t>
  </si>
  <si>
    <t>N/A</t>
  </si>
  <si>
    <t>($ / Allocation)</t>
  </si>
  <si>
    <t>=</t>
  </si>
  <si>
    <t>%</t>
  </si>
  <si>
    <t>Cost</t>
  </si>
  <si>
    <t>Weighted</t>
  </si>
  <si>
    <t xml:space="preserve">  Long Term Debt  (Note G) (Attach 2, lines 165 &amp; 186)</t>
  </si>
  <si>
    <t>=WCLTD</t>
  </si>
  <si>
    <t xml:space="preserve">  Preferred Stock  (Attach 2, lines 167 &amp; 191)</t>
  </si>
  <si>
    <t xml:space="preserve">  Common Stock   (Attach 2, line 173)  </t>
  </si>
  <si>
    <t>=R</t>
  </si>
  <si>
    <t>Sum Of Net Transmission Plant, CWIP in Rate Base, Regulatory Asset and Unamortized Abandoned Plant</t>
  </si>
  <si>
    <t>(a)</t>
  </si>
  <si>
    <t>Net Transmission Plant in Service</t>
  </si>
  <si>
    <t>Unamortized Abandoned Plant</t>
  </si>
  <si>
    <t>Regulatory Assets</t>
  </si>
  <si>
    <t>DA indicates Direct Assignment and is equal to 1</t>
  </si>
  <si>
    <t>Page 5 of 5</t>
  </si>
  <si>
    <t xml:space="preserve">                SUPPORTING CALCULATIONS AND NOTES</t>
  </si>
  <si>
    <t xml:space="preserve">                     Horizon West Transmission, LLC</t>
  </si>
  <si>
    <t>General Note:  References to pages in this formulary rate are indicated as:  (page#, line#, col.#)</t>
  </si>
  <si>
    <t xml:space="preserve">                           References to data from FERC Form 1 are indicated as:   #.y.x  (page, line, column)</t>
  </si>
  <si>
    <t>Note</t>
  </si>
  <si>
    <t>Letter</t>
  </si>
  <si>
    <t>A</t>
  </si>
  <si>
    <t>The balances in Accounts 190, 281, 282 and 283, as adjusted by any amounts in contra accounts identified as regulatory assets  or liabilities related to FASB 158 or 109.  Balance of Account 255 is reduced by prior flow</t>
  </si>
  <si>
    <t>B</t>
  </si>
  <si>
    <t>Identified in Form 1 as being only transmission related.</t>
  </si>
  <si>
    <t>C</t>
  </si>
  <si>
    <t>Cash Working Capital assigned to transmission is one-eighth of O&amp;M (including A&amp;G) allocated to transmission and  Prepayments are the electric related prepayments booked to Account No. 165 and reported on Pages 110-111 line 57</t>
  </si>
  <si>
    <t>in the Form 1.</t>
  </si>
  <si>
    <t>D</t>
  </si>
  <si>
    <t>Line 35 excludes all Regulatory Commission Expenses itemized at 351.h, all advertising  included in Account 930.1 (except safety, education or out-reach related advertising) and all EEI and EPRI dues and expenses.</t>
  </si>
  <si>
    <t>Line 36 reflects all Regulatory Commission Expenses directly related to transmission service, RTO filings, or transmission siting itemized at 351.h.</t>
  </si>
  <si>
    <t>E</t>
  </si>
  <si>
    <t xml:space="preserve">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  Excludes other taxes associated with facilities leased to others that are charged to the lessee. </t>
  </si>
  <si>
    <t>F</t>
  </si>
  <si>
    <t>CIT is the currently effective composite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t>
  </si>
  <si>
    <t xml:space="preserve">         Inputs Required:</t>
  </si>
  <si>
    <t>FIT =</t>
  </si>
  <si>
    <t>SIT=</t>
  </si>
  <si>
    <t xml:space="preserve">  (State Income Tax Rate or Composite SIT from Attach 2)</t>
  </si>
  <si>
    <t>p =</t>
  </si>
  <si>
    <t xml:space="preserve">  (percent of federal income tax deductible for state purposes)</t>
  </si>
  <si>
    <t>For each Rate Year (including both Annual Projections and True-Up Adjustments) the statutory income tax rates utilized in the Formula Rate shall reflect the weighted average rates actually in effect during the Rate Year.  For example, if the statutory tax rate is 10% from January 1 through June 30, and 5% from July 1 through December 31, such rates would be weighted 181/365 and 184/365, respectively, for a non-leap year.</t>
  </si>
  <si>
    <t>G</t>
  </si>
  <si>
    <t xml:space="preserve">Prior to issuing any debt, the cost of debt will be 1.75%.  When third party debt is obtained, the cost of debt is determined using the methodology in Attachment 2. </t>
  </si>
  <si>
    <t>H</t>
  </si>
  <si>
    <t>Removes dollar amount of transmission plant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t>
  </si>
  <si>
    <t>I</t>
  </si>
  <si>
    <t>Reserved</t>
  </si>
  <si>
    <t>J</t>
  </si>
  <si>
    <t xml:space="preserve">ROE will be supported in the original filing and no change in ROE may be made absent a filing with FERC under FPA Section 205 or 206.  Pursuant to the Commission-approved settlement in Docket No. ER15-2239, the base ROE applicable to the Suncrest and Estrella Projects shall not be </t>
  </si>
  <si>
    <t xml:space="preserve">subject to change until three years after the date on which both of the Suncrest and Estrella Projects are under the operational control of the CAISO.  </t>
  </si>
  <si>
    <t xml:space="preserve">The capital structure shown on lines 80-83 will be 50% equity and 50% debt until project is placed into service.  After the project is placed in service, the capital structure on lines 80-83 will reflect the actual capital structure.        </t>
  </si>
  <si>
    <t>K</t>
  </si>
  <si>
    <t xml:space="preserve">Unamortized Abandoned Plant and Amortization of Abandoned Plant will be zero until the Commission accepts or approves recovery of the cost of abandoned plant.  Company must submit a Section 205 filing to recover the cost of abandoned plant.  Any such filing to recover the cost of an abandoned plant item shall be made no later than 730 days after the date that Company formally declares such plant item abandoned.      </t>
  </si>
  <si>
    <t>L</t>
  </si>
  <si>
    <t xml:space="preserve">The regulatory assets will accrue carrying costs equal to the weighted cost of capital on line 83 until the formula rate is effective and the resulting charges are assessed to customers. </t>
  </si>
  <si>
    <t>M</t>
  </si>
  <si>
    <t>Any plant leased to others will be removed from Plant In Service and booked to Leased Plant, Account 104.  Expenses charged to the lessee will be booked to Account No. 413 and the accumulated depreciation</t>
  </si>
  <si>
    <t>associated with the leased plant shall not be included above on lines 9-11</t>
  </si>
  <si>
    <t>N</t>
  </si>
  <si>
    <t>Incentive returns are excluded from lines 5-65, but rather the incremental incentive return is calculated in Col K on Attach 4 and included on line 66.</t>
  </si>
  <si>
    <t>O</t>
  </si>
  <si>
    <t>Excludes TRBAA expenses</t>
  </si>
  <si>
    <t>P</t>
  </si>
  <si>
    <t>Excludes costs associated with Asset Retirement Obligations (ARO) absent a subsequent filing under FPA Section 205.</t>
  </si>
  <si>
    <t>Q</t>
  </si>
  <si>
    <t>Includes the annual income tax cost or benefits due to permanent differences or differences between the amounts of expenses or revenues recognized in one period for ratemaking purposes and the amounts recognized for income tax purposes which do not reverse in one or more other periods, including the cost of income taxes on (1) the Equity portion of Allowance for Other Funds Used During Construction  (AFUDC) included in the current book depreciation expense and (2) meals and entertainment expenses. Permanent differences arising from lobbying and/or political contributions, or fines and penalties from government agencies will not be recovered through this mechanism. The recovery of any other permanent differences (which are expected to be extraordinary in nature) would be specifically identified in Attachment 12. The income tax impacts of these permanent differences are determined in Line 61b, Column 3.</t>
  </si>
  <si>
    <t xml:space="preserve">Attachment 1 - Revenue Credit Workpaper </t>
  </si>
  <si>
    <t xml:space="preserve">                                                                                            Horizon West Transmission, LLC</t>
  </si>
  <si>
    <t>Account 454 - Rent from Electric Property  (Note 3)</t>
  </si>
  <si>
    <t>Notes 1 &amp; 3</t>
  </si>
  <si>
    <t>Rent from FERC Form No. 1</t>
  </si>
  <si>
    <t>Note 3, line 11</t>
  </si>
  <si>
    <t>Account 456 and 456.1  (Note 3)</t>
  </si>
  <si>
    <t>Other Electric Revenues (Note 2)</t>
  </si>
  <si>
    <t>Note 3</t>
  </si>
  <si>
    <t xml:space="preserve">Professional Services </t>
  </si>
  <si>
    <t>Revenues from Directly Assigned Transmission Facility Charges (Note 2)</t>
  </si>
  <si>
    <t xml:space="preserve">Rent or Attachment Fees associated with Transmission Facilities </t>
  </si>
  <si>
    <t>Other</t>
  </si>
  <si>
    <t>Total Revenue Credits</t>
  </si>
  <si>
    <t>Note 1</t>
  </si>
  <si>
    <t xml:space="preserve">All revenues booked to Account 454 that are derived from cost items classified as transmission-related will be included as a revenue credit.  All revenues booked to Account 456 that are derived from cost items classified as transmission-related, and are not derived from rates under this transmission formula rate will be included as a revenue credit.   Work papers will be included to properly classify revenues booked to these accounts to the transmission function.  A breakdown of all Account 454 revenues by subaccount will be provided below, and will be used to derive the proper calculation of revenue credits.  A breakdown of all Account 456 revenues by subaccount and customer will be provided and tabulated below, and will be used to develop the proper calculation of revenue credits.  All revenue credits that are included in the TRBAA are excluded here. </t>
  </si>
  <si>
    <t>Note 2</t>
  </si>
  <si>
    <t>If the facilities associated with the revenues are not included in the formula, the revenue is shown below, but not included in the total above and explained in the Attachment 3. This includes plant leased to others and the associated expenses outlined in Note M of Appendix III.</t>
  </si>
  <si>
    <t>All Account 454, 456, and 456.1 Revenues must be itemized below and tie to the FERC Form No. 1 cites set forth below</t>
  </si>
  <si>
    <t>Line No.</t>
  </si>
  <si>
    <t>Account 456 and 456.1 (300.21.b plus 300.22.b)</t>
  </si>
  <si>
    <t>TOTAL</t>
  </si>
  <si>
    <t>CALISO</t>
  </si>
  <si>
    <t>Other 1</t>
  </si>
  <si>
    <t>Other 2</t>
  </si>
  <si>
    <t>1a</t>
  </si>
  <si>
    <t>Transmission Service</t>
  </si>
  <si>
    <t>…</t>
  </si>
  <si>
    <t>xxxx</t>
  </si>
  <si>
    <t>1x</t>
  </si>
  <si>
    <t>Trans. Fac. Charge</t>
  </si>
  <si>
    <t>Trans Studies</t>
  </si>
  <si>
    <t>Total  (must tie to 300.21.b plus 300.22.b)</t>
  </si>
  <si>
    <t>Less:</t>
  </si>
  <si>
    <t xml:space="preserve">     Revenue for Demands in Divisor </t>
  </si>
  <si>
    <t xml:space="preserve">     Revenue Credits included in the TRBAA</t>
  </si>
  <si>
    <t>Sub Total Revenue Credit</t>
  </si>
  <si>
    <t>Prior Period Adjustments</t>
  </si>
  <si>
    <t xml:space="preserve">Total  </t>
  </si>
  <si>
    <t>Account 454</t>
  </si>
  <si>
    <t>10a</t>
  </si>
  <si>
    <t>Joint pole attachments - telephone</t>
  </si>
  <si>
    <t>10b</t>
  </si>
  <si>
    <t>Joint pole attachments - cable</t>
  </si>
  <si>
    <t>10c</t>
  </si>
  <si>
    <t>Underground rentals</t>
  </si>
  <si>
    <t>10d</t>
  </si>
  <si>
    <t>Transmission tower wireless rentals</t>
  </si>
  <si>
    <t>10e</t>
  </si>
  <si>
    <t>Other rentals</t>
  </si>
  <si>
    <t>10f</t>
  </si>
  <si>
    <t>Corporate headquarters sublease</t>
  </si>
  <si>
    <t>10g</t>
  </si>
  <si>
    <t>Misc non-transmission rentals</t>
  </si>
  <si>
    <t>10x</t>
  </si>
  <si>
    <t>Total  (must tie to 300.19.b)</t>
  </si>
  <si>
    <t>Attachment 2 - Cost Support</t>
  </si>
  <si>
    <t xml:space="preserve">                                                             Horizon West Transmission, LLC</t>
  </si>
  <si>
    <r>
      <t xml:space="preserve">                                                                                 </t>
    </r>
    <r>
      <rPr>
        <b/>
        <sz val="12"/>
        <color rgb="FFFF0000"/>
        <rFont val="Arial Narrow"/>
        <family val="2"/>
      </rPr>
      <t xml:space="preserve">     </t>
    </r>
    <r>
      <rPr>
        <sz val="12"/>
        <rFont val="Arial Narrow"/>
        <family val="2"/>
      </rPr>
      <t xml:space="preserve"> </t>
    </r>
  </si>
  <si>
    <t>Plant in Service Worksheet</t>
  </si>
  <si>
    <t>Appendix III Line #s, Descriptions, Notes, Form 1 Page #s and Instructions</t>
  </si>
  <si>
    <t>Calculation of Transmission  Plant In Service</t>
  </si>
  <si>
    <t>Year</t>
  </si>
  <si>
    <t>Balance</t>
  </si>
  <si>
    <t>December</t>
  </si>
  <si>
    <t>p206.58.b less p206.57.b</t>
  </si>
  <si>
    <t>January</t>
  </si>
  <si>
    <t>Note A</t>
  </si>
  <si>
    <t>February</t>
  </si>
  <si>
    <t>March</t>
  </si>
  <si>
    <t>April</t>
  </si>
  <si>
    <t>May</t>
  </si>
  <si>
    <t xml:space="preserve">June </t>
  </si>
  <si>
    <t>July</t>
  </si>
  <si>
    <t>August</t>
  </si>
  <si>
    <t>September</t>
  </si>
  <si>
    <t xml:space="preserve">October </t>
  </si>
  <si>
    <t>November</t>
  </si>
  <si>
    <t>p207.58.g less p207.57.g</t>
  </si>
  <si>
    <t>Transmission Plant In Service</t>
  </si>
  <si>
    <t>Calculation of Intangible Plant In Service</t>
  </si>
  <si>
    <t>p204.5.b</t>
  </si>
  <si>
    <t>October</t>
  </si>
  <si>
    <t>p205.5.g</t>
  </si>
  <si>
    <t>Intangible Plant In Service</t>
  </si>
  <si>
    <t>Calculation of General Plant In Service</t>
  </si>
  <si>
    <t>p206.99.b lessp206.98.b</t>
  </si>
  <si>
    <t>p207.99.g lessp207.98.g</t>
  </si>
  <si>
    <t>General Plant In Service</t>
  </si>
  <si>
    <t>Total Plant In Service</t>
  </si>
  <si>
    <t>Accumulated Depreciation Worksheet</t>
  </si>
  <si>
    <t>Appendix III  Line #s, Descriptions, Notes, Form 1 Page #s and Instructions</t>
  </si>
  <si>
    <t>Calculation of Transmission Accumulated Depreciation</t>
  </si>
  <si>
    <t>Prior year p219.25.c</t>
  </si>
  <si>
    <t>p219.25.c</t>
  </si>
  <si>
    <t>Transmission Accumulated Depreciation</t>
  </si>
  <si>
    <t>Calculation of Intangible Accumulated Depreciation</t>
  </si>
  <si>
    <t>Prior year p200.21.c</t>
  </si>
  <si>
    <t>p200.21.c</t>
  </si>
  <si>
    <t>Accumulated Intangible Depreciation</t>
  </si>
  <si>
    <t>Calculation of General Accumulated Depreciation</t>
  </si>
  <si>
    <t>Prior year p219.28.c</t>
  </si>
  <si>
    <t>p219.28.c</t>
  </si>
  <si>
    <t>Accumulated General Depreciation</t>
  </si>
  <si>
    <t>Total Accumulated Depreciation</t>
  </si>
  <si>
    <t xml:space="preserve">Note A:  Input the value associated with the amount as if reported in FN1 consistent with the first source in the section.  </t>
  </si>
  <si>
    <t xml:space="preserve">             The source for the values is internal company records.</t>
  </si>
  <si>
    <t>Details</t>
  </si>
  <si>
    <t>Beginning of Year</t>
  </si>
  <si>
    <t>End of Year</t>
  </si>
  <si>
    <t>Average Balance</t>
  </si>
  <si>
    <t xml:space="preserve">  Account No. 255 (enter negative)  </t>
  </si>
  <si>
    <t>266.8.b &amp; 267.8.h</t>
  </si>
  <si>
    <t>Per FERC Order</t>
  </si>
  <si>
    <t xml:space="preserve">  (recovery of abandoned plant requires a FERC order approving the amount and recovery period and Attachment 11 being completed)</t>
  </si>
  <si>
    <t>Amortization of Abandoned Plant</t>
  </si>
  <si>
    <t xml:space="preserve">  Prepayments (Account 165)</t>
  </si>
  <si>
    <t xml:space="preserve">     (Prepayments exclude Prepaid Pension Assets)</t>
  </si>
  <si>
    <t>111.57.d</t>
  </si>
  <si>
    <t>(Note A)</t>
  </si>
  <si>
    <t>111.57.c</t>
  </si>
  <si>
    <t>Prepayments</t>
  </si>
  <si>
    <t>Note A:  Input the value associated with the amount as if reported in FN1 consistent with the first source in the section</t>
  </si>
  <si>
    <t>Calculation of Transmission CWIP</t>
  </si>
  <si>
    <t>Non-Incentive</t>
  </si>
  <si>
    <t>Incentive</t>
  </si>
  <si>
    <t>216.b (prior Year)</t>
  </si>
  <si>
    <t>(Note B)</t>
  </si>
  <si>
    <t>216.b</t>
  </si>
  <si>
    <t>Transmission CWIP</t>
  </si>
  <si>
    <t>Note B:  Amounts for CWIP included here must be supported in Attach 8</t>
  </si>
  <si>
    <t>Amount included</t>
  </si>
  <si>
    <t>Attach 10, line 2, column d</t>
  </si>
  <si>
    <t>126a</t>
  </si>
  <si>
    <t>Amounts for Land Held for Future Use included here must be supported in Attachment 10</t>
  </si>
  <si>
    <t>As per instruction on Attach 10, only the transmission Land Held for Future Use is Included</t>
  </si>
  <si>
    <t>Reserves</t>
  </si>
  <si>
    <t>Unfunded Reserves To Be Credited to Rate Base on Line 20 of Appendix III</t>
  </si>
  <si>
    <t>(b)</t>
  </si>
  <si>
    <t>List of all reserves from Attach 7):</t>
  </si>
  <si>
    <t>Attachment 7, line 2, col (s)</t>
  </si>
  <si>
    <t>Reserve 1</t>
  </si>
  <si>
    <t>Reserve 2</t>
  </si>
  <si>
    <t>Reserve 3</t>
  </si>
  <si>
    <t>Reserve 4</t>
  </si>
  <si>
    <t>127a</t>
  </si>
  <si>
    <t>Total  (Col. (b) ties to Attach 7, line 2, col. (s))</t>
  </si>
  <si>
    <t>EPRI Dues Cost Support</t>
  </si>
  <si>
    <t>Allocated General &amp; Common Expenses</t>
  </si>
  <si>
    <t>EPRI Dues</t>
  </si>
  <si>
    <t>EPRI &amp; EEI Costs</t>
  </si>
  <si>
    <t>EPRI and EEI dues and expenses to be excluded from the formula rate</t>
  </si>
  <si>
    <t>p353._.f (enter FN1 line #)</t>
  </si>
  <si>
    <t>128a</t>
  </si>
  <si>
    <t>List EPRI and EEI dues and expenses</t>
  </si>
  <si>
    <t>Regulatory Expense Related to Transmission Cost Support</t>
  </si>
  <si>
    <t>Form 1 Amount</t>
  </si>
  <si>
    <t>Transmission Related</t>
  </si>
  <si>
    <t>Non-transmission Related</t>
  </si>
  <si>
    <t>Details*</t>
  </si>
  <si>
    <t>Directly Assigned A&amp;G</t>
  </si>
  <si>
    <t>(Col A- Col B)</t>
  </si>
  <si>
    <t>Regulatory Commission Exp Account 928</t>
  </si>
  <si>
    <t>p323.189.b</t>
  </si>
  <si>
    <t xml:space="preserve">Column B shall be all Regulatory Commission Expenses directly related to transmission service, RTO filings, </t>
  </si>
  <si>
    <t>or transmission siting itemized at 351.h consistent with Footnote D on Appendix III</t>
  </si>
  <si>
    <t>* insert case specific detail and associated assignments here</t>
  </si>
  <si>
    <t>Multi-state Workpaper</t>
  </si>
  <si>
    <t>State 1</t>
  </si>
  <si>
    <t>State 2</t>
  </si>
  <si>
    <t>State 3</t>
  </si>
  <si>
    <t>State 4</t>
  </si>
  <si>
    <t>State 5</t>
  </si>
  <si>
    <t>Weighed Average</t>
  </si>
  <si>
    <t>Income Tax Rates</t>
  </si>
  <si>
    <t>SIT=State Income Tax Rate or Composite</t>
  </si>
  <si>
    <t>Multiple state rates are weighted based on the state apportionment factors on the state income tax returns</t>
  </si>
  <si>
    <t>Safety Related and Education and Out Reach Cost Support</t>
  </si>
  <si>
    <t>Safety Related, Education, Siting &amp; Outreach Related</t>
  </si>
  <si>
    <t>General Advertising Exp Account 930.1</t>
  </si>
  <si>
    <t>p323.191.b</t>
  </si>
  <si>
    <t xml:space="preserve">Column B shall be safety, education, siting or out-reach related advertising consistent with </t>
  </si>
  <si>
    <t>Note D on Appendix III</t>
  </si>
  <si>
    <t>Excluded Plant Cost Support</t>
  </si>
  <si>
    <t>Description of the Facilities</t>
  </si>
  <si>
    <t>Adjustment to Remove Revenue Requirements Associated with Excluded Transmission Facilities</t>
  </si>
  <si>
    <t>Excluded Transmission Facilities</t>
  </si>
  <si>
    <t>General Description of the Facilities</t>
  </si>
  <si>
    <t>132a</t>
  </si>
  <si>
    <t>Transmission plant included in OATT Ancillary Services</t>
  </si>
  <si>
    <t>Add more lines if necessary</t>
  </si>
  <si>
    <t>Materials &amp; Supplies</t>
  </si>
  <si>
    <t>Note:  for the projection, the prior year's actual balances will be used</t>
  </si>
  <si>
    <t>Stores Expense Undistributed</t>
  </si>
  <si>
    <t>Transmission Materials &amp; Supplies</t>
  </si>
  <si>
    <t xml:space="preserve"> Form No.1 page</t>
  </si>
  <si>
    <t>p227.16</t>
  </si>
  <si>
    <t>p227.8</t>
  </si>
  <si>
    <t>(Col A + Col B)</t>
  </si>
  <si>
    <t>Column b</t>
  </si>
  <si>
    <t>Company Records</t>
  </si>
  <si>
    <t>Column c</t>
  </si>
  <si>
    <t>Average                                                                          (sum of lines 133 to 145 divided by 13)</t>
  </si>
  <si>
    <t>Regulatory Asset</t>
  </si>
  <si>
    <t>Pursuant to Attachment 11</t>
  </si>
  <si>
    <t>Amortization to Account 566</t>
  </si>
  <si>
    <t>Attach 11, line 2, column h</t>
  </si>
  <si>
    <t>Input to line 33b of Appendix III</t>
  </si>
  <si>
    <t>All amortization of the Regulatory Asset is to be booked to Account 566 over</t>
  </si>
  <si>
    <t xml:space="preserve"> the period authorized by the Commission in the Docket Nos. listed below.</t>
  </si>
  <si>
    <t>13 month Average Balance of Regulatory Asset approved for Rate Base</t>
  </si>
  <si>
    <t>Attach 11, line 2, column y</t>
  </si>
  <si>
    <t>Input to line 21 of Appendix III</t>
  </si>
  <si>
    <t>Enter docket nos. for orders authorizing recovery here:</t>
  </si>
  <si>
    <t>Docket Number</t>
  </si>
  <si>
    <t>Amortization period</t>
  </si>
  <si>
    <t>8/8/2020 - 8/7/2035</t>
  </si>
  <si>
    <t>PBOPs</t>
  </si>
  <si>
    <t>Calculation of PBOP Expenses</t>
  </si>
  <si>
    <t>NextEra (and its subsidiaries that use the same PBOP actuarial study)</t>
  </si>
  <si>
    <t xml:space="preserve">Total PBOP expenses </t>
  </si>
  <si>
    <t>Labor dollars</t>
  </si>
  <si>
    <t>Cost per labor dollar</t>
  </si>
  <si>
    <t>(line 151 / Line 152)</t>
  </si>
  <si>
    <t>labor (labor not capitalized) current year</t>
  </si>
  <si>
    <t>Note C</t>
  </si>
  <si>
    <t>PBOP Expense for current year</t>
  </si>
  <si>
    <t>(line 153 * Line 154)</t>
  </si>
  <si>
    <t>PBOP Expense in all O&amp;M and A&amp;G accounts for current year</t>
  </si>
  <si>
    <t>PBOP Adjustment for Appendix III, Line 37</t>
  </si>
  <si>
    <t>(line 156 - Line 155)</t>
  </si>
  <si>
    <t xml:space="preserve">     PBOP expense adjustment      (line 157)</t>
  </si>
  <si>
    <r>
      <t>Note A:   There will be zero PBOP expenses in the  Horizon West rates until  Horizon West</t>
    </r>
    <r>
      <rPr>
        <sz val="10"/>
        <rFont val="Arial"/>
        <family val="2"/>
      </rPr>
      <t xml:space="preserve"> files for recovery of its PBOP expenses.  Line 157 removes all</t>
    </r>
    <r>
      <rPr>
        <sz val="10"/>
        <rFont val="Arial"/>
        <family val="2"/>
      </rPr>
      <t xml:space="preserve"> Horizon West or affiliate PBOP expenses in FERC Accounts 500-935. </t>
    </r>
  </si>
  <si>
    <t>Capital Structure</t>
  </si>
  <si>
    <t>Form No.1</t>
  </si>
  <si>
    <t>Description</t>
  </si>
  <si>
    <t>Reference</t>
  </si>
  <si>
    <t>June</t>
  </si>
  <si>
    <t>13 Month Avg.</t>
  </si>
  <si>
    <t>Col. (a)</t>
  </si>
  <si>
    <t>Col. (b)</t>
  </si>
  <si>
    <t>Col. (c)</t>
  </si>
  <si>
    <t>Col. (d)</t>
  </si>
  <si>
    <t>Col. (e)</t>
  </si>
  <si>
    <t>Col. (f)</t>
  </si>
  <si>
    <t>Col. (g)</t>
  </si>
  <si>
    <t>Col. (h)</t>
  </si>
  <si>
    <t>Col. (i)</t>
  </si>
  <si>
    <t>Col. (j)</t>
  </si>
  <si>
    <t>Col. (k)</t>
  </si>
  <si>
    <t>Col. (l)</t>
  </si>
  <si>
    <t>Col. (m)</t>
  </si>
  <si>
    <t>Col. (n)</t>
  </si>
  <si>
    <t>Long Term Debt:</t>
  </si>
  <si>
    <t>Acct 221 Bonds</t>
  </si>
  <si>
    <t>112.18.c,d</t>
  </si>
  <si>
    <t>Acct 223 Advances from Assoc. Companies</t>
  </si>
  <si>
    <t>112.20.c,d</t>
  </si>
  <si>
    <t>Acct 224 Other Long Term Debt</t>
  </si>
  <si>
    <t>112.21.c,d</t>
  </si>
  <si>
    <t>Less  Acct 222 Reacquired Debt</t>
  </si>
  <si>
    <t>112.19 c,d enter negative</t>
  </si>
  <si>
    <t>Total Long Term Debt</t>
  </si>
  <si>
    <t>Preferred Stock (1)</t>
  </si>
  <si>
    <t>112.3.c,d</t>
  </si>
  <si>
    <t>Common Equity- Per Books</t>
  </si>
  <si>
    <t>112.16.c,d</t>
  </si>
  <si>
    <t>Less Acct 204 Preferred Stock</t>
  </si>
  <si>
    <t>Less Acct 219 Accum Other Compre. Income</t>
  </si>
  <si>
    <t>112.15.c,d</t>
  </si>
  <si>
    <t>Less Acct 216.1 Unappropriated Undistributed Subsidiary Earnings</t>
  </si>
  <si>
    <t>112.12.c,d</t>
  </si>
  <si>
    <t>Cost of Debt</t>
  </si>
  <si>
    <t>Acct 427 Interest on Long Term Debt</t>
  </si>
  <si>
    <t>117.62.c</t>
  </si>
  <si>
    <t>Acct 428 Amortization of Debt Discount and Expense</t>
  </si>
  <si>
    <t>117.63.c</t>
  </si>
  <si>
    <t>Acct 428.1 Amortization of Loss on Reacquired Debt</t>
  </si>
  <si>
    <t>117.64.c</t>
  </si>
  <si>
    <t>Acct 430 Interest on Debt to Assoc. Companies (LTD portion only) (2)</t>
  </si>
  <si>
    <t>117.67.c</t>
  </si>
  <si>
    <t>Less:  Acct 429 Amort of Premium on Debt</t>
  </si>
  <si>
    <t>117.65.c enter negative</t>
  </si>
  <si>
    <t>Less:  Acct 429.1 Amort of Gain on Reacquired Debt</t>
  </si>
  <si>
    <t>117.66.c enter negative</t>
  </si>
  <si>
    <t>Total Interest Expense</t>
  </si>
  <si>
    <t>Cost of Preferred Stock</t>
  </si>
  <si>
    <t>Preferred Stock Dividends</t>
  </si>
  <si>
    <t>118.29.c</t>
  </si>
  <si>
    <t>Note 1.  If and when the Company issues preferred stock, footnote will indicate the authorizing regulatory agency, the docket/case number, and the date of the authorizing order.</t>
  </si>
  <si>
    <t>Note 2.  Interest on Debt to Associated Companies (FERC 430) will be populated with interest related to Long-Term Debt only.</t>
  </si>
  <si>
    <t xml:space="preserve">Attachment 3 - Incentive ROE </t>
  </si>
  <si>
    <t xml:space="preserve">Horizon West Transmission, LLC </t>
  </si>
  <si>
    <t xml:space="preserve">Incentive ROE </t>
  </si>
  <si>
    <t>Rate Base</t>
  </si>
  <si>
    <t>Appendix III, line 30</t>
  </si>
  <si>
    <t>100 Basis Point Incentive Return</t>
  </si>
  <si>
    <t xml:space="preserve">  Long Term Debt  </t>
  </si>
  <si>
    <t>Appendix III, line 80</t>
  </si>
  <si>
    <t xml:space="preserve">  Preferred Stock </t>
  </si>
  <si>
    <t>Appendix III, line 81</t>
  </si>
  <si>
    <t xml:space="preserve">  Common Stock  Including 100 basis points    Appendix III, line 82</t>
  </si>
  <si>
    <t>Total  (sum lines 3-5)</t>
  </si>
  <si>
    <t>100 Basis Point Incentive Return multiplied by Rate Base (line 1 * line 6, col H)</t>
  </si>
  <si>
    <t>Amortized Investment Tax Credit (Appendix III, line 59)</t>
  </si>
  <si>
    <t>Return and Income Taxes with 100 basis point increase in ROE</t>
  </si>
  <si>
    <t>Sum lines 7 and 18</t>
  </si>
  <si>
    <t>Return and Income Taxes without 100 basis point increase in ROE</t>
  </si>
  <si>
    <t>Sum lines 20 and 21</t>
  </si>
  <si>
    <t>Incremental Return and Income Taxes for 100 basis point increase in ROE</t>
  </si>
  <si>
    <t>Line 19 less line 22</t>
  </si>
  <si>
    <t>Sum Of Net Plant, CWIP, Abandoned Plant And Regulatory Assets</t>
  </si>
  <si>
    <t>Carrying Charge Difference for 100 Basis point of ROE</t>
  </si>
  <si>
    <t>(Line 23 divided by line 24)</t>
  </si>
  <si>
    <t xml:space="preserve">Note 1:   No incentive may be included in the formula absent authorization from FERC.  Pursuant to the Commission-approved settlement in Docket No. ER15-2239, no ROE-related incentives may be requested for the Suncrest </t>
  </si>
  <si>
    <t xml:space="preserve">               and Estrella Projects prior to October 20, 2021. </t>
  </si>
  <si>
    <t xml:space="preserve">Note 2:  The 100 basis points is used to calculate the change in the carrying charge if an incentive is approved by the Commission and does not reflect what ultimately </t>
  </si>
  <si>
    <t xml:space="preserve">                 the Commission might approve as an incentive ROE adder for a specific transmission project.</t>
  </si>
  <si>
    <t>FERC has authorized incentives for the following projects:</t>
  </si>
  <si>
    <t>Project</t>
  </si>
  <si>
    <t>Attachment 4 - Transmission Enhancement Charge Worksheet</t>
  </si>
  <si>
    <t xml:space="preserve">Horizon West Transmission, LLC                                 </t>
  </si>
  <si>
    <t>Rev Requirement before Incentive Projects</t>
  </si>
  <si>
    <t>(Appendix III, line 65)</t>
  </si>
  <si>
    <t>Less Transmission Depreciation Expense, Abandoned Plant Amort, Reg Asset Amort, and O&amp;M</t>
  </si>
  <si>
    <t>(Appendix III, lines 40 &amp; 42 plus Appendix III, line 38)</t>
  </si>
  <si>
    <t>Net Rev Req less Depreciation expense and O&amp;M</t>
  </si>
  <si>
    <t>(Line 1 minus line 2)</t>
  </si>
  <si>
    <t xml:space="preserve">Sum Of Net Plant, CWIP, Regulatory Asset and Abandoned Plant  </t>
  </si>
  <si>
    <t>Base Fixed Charge Rate Less Depreciation/Amortization and O&amp;M (Base FCR)</t>
  </si>
  <si>
    <t>(Line 3 / line 4)</t>
  </si>
  <si>
    <t>(Attachment 3, line 25)</t>
  </si>
  <si>
    <t>Column A</t>
  </si>
  <si>
    <t>Column B</t>
  </si>
  <si>
    <t>Column C</t>
  </si>
  <si>
    <t>Column D</t>
  </si>
  <si>
    <t>Column E</t>
  </si>
  <si>
    <t>Column F</t>
  </si>
  <si>
    <t>Column G</t>
  </si>
  <si>
    <t>Column H</t>
  </si>
  <si>
    <t>Column I</t>
  </si>
  <si>
    <t>Column J</t>
  </si>
  <si>
    <t>Column K</t>
  </si>
  <si>
    <t>Column L</t>
  </si>
  <si>
    <t>Column M</t>
  </si>
  <si>
    <t>(Notes 1 and 2)</t>
  </si>
  <si>
    <t>Project Name, CAISO Identification and whether HV (200kV+) or LV (&lt;200kV)</t>
  </si>
  <si>
    <t>Useful life of project/Amort period</t>
  </si>
  <si>
    <t>Input the allowed ROE Incentive</t>
  </si>
  <si>
    <t>Line 5</t>
  </si>
  <si>
    <t>Line 6a times Col C divided by 100 basis points plus Col D</t>
  </si>
  <si>
    <t>Actual Rev Req at Base FCR</t>
  </si>
  <si>
    <t>Actual Rev Req at Increased ROE</t>
  </si>
  <si>
    <t>Incremental Rev Req at Increased ROE of Incentive Projects</t>
  </si>
  <si>
    <t>Discount</t>
  </si>
  <si>
    <t>Net Revenue</t>
  </si>
  <si>
    <t>Increased ROE (Basis Points) (Note 3)</t>
  </si>
  <si>
    <t>Base Fixed Charge Rate Less Depreciation/Amortization and O&amp;M (Base FCR (line 5))</t>
  </si>
  <si>
    <t>FCR for This Project  (Line 6 x Col C /100 + Col D)</t>
  </si>
  <si>
    <t>13 Month Balance of Investment           (Note 2)  (company records)</t>
  </si>
  <si>
    <t>Depreciation or Amortization Expense     (company records)</t>
  </si>
  <si>
    <t>Directly Assigned O&amp;M (Note 5)</t>
  </si>
  <si>
    <t>Revenue Requirement</t>
  </si>
  <si>
    <t xml:space="preserve">Col J less Col I for Incentive Projects </t>
  </si>
  <si>
    <t>(Note 4)</t>
  </si>
  <si>
    <t>Col J - Col L</t>
  </si>
  <si>
    <t>[Col D x Col F + Col G + Col H]</t>
  </si>
  <si>
    <t>(Col E x Col F + Col G + Col H)</t>
  </si>
  <si>
    <t>7a</t>
  </si>
  <si>
    <t>7b</t>
  </si>
  <si>
    <t>7c</t>
  </si>
  <si>
    <t>7d</t>
  </si>
  <si>
    <t>7e</t>
  </si>
  <si>
    <t>7f</t>
  </si>
  <si>
    <t>7g</t>
  </si>
  <si>
    <t>7h</t>
  </si>
  <si>
    <r>
      <t xml:space="preserve">Total  </t>
    </r>
    <r>
      <rPr>
        <sz val="12"/>
        <rFont val="Arial Narrow"/>
        <family val="2"/>
      </rPr>
      <t>(sum of lines 7 above)</t>
    </r>
  </si>
  <si>
    <t>Line 9 must tie to the lines above as shown</t>
  </si>
  <si>
    <t>Total of Col F ties to Line 4</t>
  </si>
  <si>
    <t xml:space="preserve">Total of Col G ties to the sum of Appendix III, lines 33b, 40 &amp; 42, col 5) </t>
  </si>
  <si>
    <t>Total of Col H ties to Appendix III, Lines 38 - line 33b</t>
  </si>
  <si>
    <t>Total of Col I ties to Line 1 Total</t>
  </si>
  <si>
    <t>Total of Col J ties to  Appendix III, Line 65</t>
  </si>
  <si>
    <t>Total of Col K ties to Appendix III, Line 66</t>
  </si>
  <si>
    <t>Total to be Charged</t>
  </si>
  <si>
    <t>Total revenue requirement associated with CAISO's High Voltage (HV; 200kV+) Transmission Access Charge</t>
  </si>
  <si>
    <t>Total revenue requirement associated with CAISO's utility service territory-specific Low Voltage (LV; &lt;200kV) Transmission Access Charge</t>
  </si>
  <si>
    <t>Note 1:  Add additional lines after line 7i for additional projects</t>
  </si>
  <si>
    <t>Note 2: Regulatory Assets, Abandoned Plant, authorized CWIP in rate base, and plant in-service shall be listed separately on lines 7 for each project</t>
  </si>
  <si>
    <t>Note 3:  No incentive may be included in the formula absent authorization from FERC</t>
  </si>
  <si>
    <t xml:space="preserve">Note 4:  The Discount in Column L is the reduction in revenue, if any, that the company agreed to, for instance, to be selected to build facilities as the result of a competitive process and equals the amount by which the </t>
  </si>
  <si>
    <t xml:space="preserve">   annual revenue requirement is reduced from the ceiling rate.  A workpaper will be provided to show the calculation of the discount.</t>
  </si>
  <si>
    <t xml:space="preserve">Note 5:  All O&amp;M will be directly assigned to each project with plant in service based on the invoiced amount per project.  The detail supporting the O&amp;M direct assignment will be provided in a workpaper and the totals shown in a Form No. 1 footnote to pages 320-323.  </t>
  </si>
  <si>
    <t xml:space="preserve">   A&amp;G will be allocated in proportion to the Transmission O&amp;M for each item in Lines 7 (not including amortization of Regulatory Asset(s) booked to Account 566).</t>
  </si>
  <si>
    <t>O&amp;M (excluding Amortization of Regulatory Assets)  (Line 11 is equal to Appendix III, line 32 - line 33 + line 33a, col 5 attributable to each project based on invoices)</t>
  </si>
  <si>
    <t>%O&amp;M                                    (Col B / total Col B)</t>
  </si>
  <si>
    <t>A&amp;G  [(Appendix III, line 34 - line 35 + lines 36 &amp; 37, col 5) * (Col C)</t>
  </si>
  <si>
    <t>O&amp;M (including A&amp;G)  (Col B + Col D)</t>
  </si>
  <si>
    <t>Total (sum lines 10 above)</t>
  </si>
  <si>
    <t>Note 6:</t>
  </si>
  <si>
    <t>Narrative step by step of how data is derived and calculated within this attachment and how Attachment 3 relates to this attachment:</t>
  </si>
  <si>
    <t>Step 1</t>
  </si>
  <si>
    <t>Lines 1-6 are sourced from  Appendix III,  Attachment 3 or calculated as set forth on each line.</t>
  </si>
  <si>
    <t>Step 2</t>
  </si>
  <si>
    <t xml:space="preserve">On lines 7, for each project (whether FERC authorized CWIP in rate base or plant in service), FERC authorized Abandoned Plant or FERC authorized Regulatory Asset, Input the data for Steps 3 to 7 </t>
  </si>
  <si>
    <t>Step 3</t>
  </si>
  <si>
    <t>On lines 7, Col A, input the name of the project</t>
  </si>
  <si>
    <t>Step 4</t>
  </si>
  <si>
    <t xml:space="preserve">On lines 7, Col B, input the useful life for projects with plant in service based on the depreciation rates set forth in Attach 9, or the amortization period approved by FERC for Abandoned Plant or Regulatory Assets </t>
  </si>
  <si>
    <t>Step 5</t>
  </si>
  <si>
    <t xml:space="preserve">Lines 7, Col C, is the increase in ROE authorized by FERC from Note 3 </t>
  </si>
  <si>
    <t>Step 6</t>
  </si>
  <si>
    <t>Lines 7, Col D, is the Base Fixed Charge Rate from line 5  which excludes any increased ROE authorized by FERC</t>
  </si>
  <si>
    <t>Step 7</t>
  </si>
  <si>
    <t>Lines 7, Col E, calculate the Fixed Rate Charge for the line including the increased ROE authorized by FERC</t>
  </si>
  <si>
    <t>Step 8</t>
  </si>
  <si>
    <t xml:space="preserve">On Lines 7, Col F, input the 13 month balance of each Investment (defined in Note 2 as Regulatory Assets, Abandoned Plant, authorized CWIP in rate base, and plant in-service).  The total on line 8 must tie to line 4. </t>
  </si>
  <si>
    <t>Step 9</t>
  </si>
  <si>
    <t xml:space="preserve">On Lines 7, Col G, input the depreciation or amortization expense associated with each investment and the total on line 8 must tie to the sum of Appendix III, lines 33b, 40 &amp; 42, col 5 </t>
  </si>
  <si>
    <t>Step 10</t>
  </si>
  <si>
    <t xml:space="preserve">On Lines 7, Col H, input the O&amp;M from Note 5, Col E for each project with plant in service. </t>
  </si>
  <si>
    <t>Step 11</t>
  </si>
  <si>
    <t>Lines 7, Col I, calculates the revenue requirement at the Base FCR for each Investment as the sum of Cols D, F, G and H</t>
  </si>
  <si>
    <t>Step 12</t>
  </si>
  <si>
    <t>Lines 7, Col J, calculates the revenue requirement for each Investment including any increased ROE authorized by FERC as the sum of Cols E, F, G and H</t>
  </si>
  <si>
    <t>Step 13</t>
  </si>
  <si>
    <t>Lines 7, Col K, calculates the revenue related to any increased ROE authorized by FERC.</t>
  </si>
  <si>
    <t>Step 14</t>
  </si>
  <si>
    <t>On Lines 7, Col L, input the  amount by which the transmission owner  has committed to charge less than the rate in Col J, regardless of how that Discount is calculated.  For each project, the amount of the Discount will be zero or a reduction to the annual transmission revenue requirement in one or more years.   The transmission owner will include, as part of its Annual Update, (i) an explanation of the basis for any Discount, (ii) a calculation of the Discount, and (iii) any documentation needed to support the calculation of the Discount.  The amount in Column 17  above equals the amount by which the annual revenue requirement is reduced from the ceiling rate</t>
  </si>
  <si>
    <t>Step 15</t>
  </si>
  <si>
    <t>Lines 7, Col M, calculates the revenue requirement attributable to each project to be charged customers as Col J less Col L.</t>
  </si>
  <si>
    <t>Attachment 3</t>
  </si>
  <si>
    <t>Attachment 3 calculates the increase in the Fixed Charge Rate attributable to an increase in ROE of 100 basis points.  Lines 7, Col C inputs the actual increase in ROE authorized by FERC for the project.  Lines 7, Col E compute the increase in the Fixed Charge Rate associated with the increased ROE authorized by FERC for each project.  The combination of Attachment 3 and Lines 7, Cols C &amp; E, allow the formula to calculate the proper Fixed Charge Rate for each project based on the actual ROE increase for each project authorized by FERC.</t>
  </si>
  <si>
    <t>Attachment 5 - Example of True-Up Calculation</t>
  </si>
  <si>
    <t>Revenue Requirement Billed  (Note 1)</t>
  </si>
  <si>
    <t>Actual Revenue Requirement (Note 2)</t>
  </si>
  <si>
    <t>Over (Under) Recovery</t>
  </si>
  <si>
    <t>Less</t>
  </si>
  <si>
    <t>Equals</t>
  </si>
  <si>
    <t>Interest Rate on Amount of Refunds or Surcharges</t>
  </si>
  <si>
    <t>Over (Under) Recovery Plus Interest</t>
  </si>
  <si>
    <t>Monthly Interest Rate (Note 3)</t>
  </si>
  <si>
    <t>Months</t>
  </si>
  <si>
    <t>Calculated Interest</t>
  </si>
  <si>
    <t>Amortization</t>
  </si>
  <si>
    <t>Surcharge (Refund) Owed</t>
  </si>
  <si>
    <t xml:space="preserve">An over or under collection will be recovered prorata over year collected, held for one year and returned prorata over next year </t>
  </si>
  <si>
    <t>Calculation of Interest</t>
  </si>
  <si>
    <t>Monthly</t>
  </si>
  <si>
    <t>Annual</t>
  </si>
  <si>
    <t>January  through December</t>
  </si>
  <si>
    <t>Over (Under) Recovery Plus Interest Amortized and Recovered Over 12 Months</t>
  </si>
  <si>
    <t>Total Amount of True-Up Adjustment (Note 4)</t>
  </si>
  <si>
    <t xml:space="preserve">Less Over (Under) Recovery  </t>
  </si>
  <si>
    <t>Total Interest</t>
  </si>
  <si>
    <t>Notes</t>
  </si>
  <si>
    <t xml:space="preserve">1.  The Revenue Requirement Billed is input, the source are the invoices from CAISO.  The amounts do not include any true-ups, prior period adjustments, or TRBAA amounts </t>
  </si>
  <si>
    <t xml:space="preserve">2.  The Actual Revenue Requirement is input from Appendix III, line 1.  The amounts do not include any true-ups, prior period adjustments, or TRBAA amounts </t>
  </si>
  <si>
    <t>3. Then Monthly Interest Rate shall be equal to the interest rate set forth in the Protocols.</t>
  </si>
  <si>
    <t>4. The True-Up Adjustment is applied to each project prorata based its contribution to the Revenue Requirement shown in Appendix III, line 1.</t>
  </si>
  <si>
    <t>Attachment 6a - Accumulated Deferred Income Taxes (ADIT) Average Worksheet (Projection)</t>
  </si>
  <si>
    <t>(Sum Col. B, C &amp; D)</t>
  </si>
  <si>
    <t>Ln</t>
  </si>
  <si>
    <t>Item</t>
  </si>
  <si>
    <t>Plant Related</t>
  </si>
  <si>
    <t>Labor Related</t>
  </si>
  <si>
    <t>ADIT-282 (enter negative)</t>
  </si>
  <si>
    <t>Line 11</t>
  </si>
  <si>
    <t>ADIT-283 (enter negative)</t>
  </si>
  <si>
    <t>Line 16</t>
  </si>
  <si>
    <t>ADIT-190</t>
  </si>
  <si>
    <t>Line 21</t>
  </si>
  <si>
    <t>Subtotal</t>
  </si>
  <si>
    <t>Sum of Lines 1-3</t>
  </si>
  <si>
    <t>Wages &amp; Salary Allocator (sum lines 1-3 for each column)</t>
  </si>
  <si>
    <t>Appendix III, line 78</t>
  </si>
  <si>
    <t>Net Plant Allocator</t>
  </si>
  <si>
    <t>Appendix III, line 15</t>
  </si>
  <si>
    <t>Total Plant Allocator</t>
  </si>
  <si>
    <t>Projected ADIT Total</t>
  </si>
  <si>
    <t>Enter as negative Appendix III, page 2, line 17</t>
  </si>
  <si>
    <t>(c)</t>
  </si>
  <si>
    <t>(d)</t>
  </si>
  <si>
    <t>(e)</t>
  </si>
  <si>
    <t>(f)</t>
  </si>
  <si>
    <t>(g)</t>
  </si>
  <si>
    <t>Beginning Balance &amp; Monthly Changes</t>
  </si>
  <si>
    <t>Month</t>
  </si>
  <si>
    <t xml:space="preserve">Balance </t>
  </si>
  <si>
    <t>ADIT-282</t>
  </si>
  <si>
    <t>Balance-BOY (Attach 6c, Line 30)</t>
  </si>
  <si>
    <t>-</t>
  </si>
  <si>
    <t>EOY (Attach 6d, Line 30 less Line 26)</t>
  </si>
  <si>
    <t>Balance-EOY Prorated (Attach 6b, Line 14)</t>
  </si>
  <si>
    <t>ADIT 282-Total (Lines 10+11)</t>
  </si>
  <si>
    <t>ADIT-283</t>
  </si>
  <si>
    <t>Balance-BOY (Attach 6c, Line 44)</t>
  </si>
  <si>
    <t>EOY (Attach 6d, Line 44 less Line 40)</t>
  </si>
  <si>
    <t>EOY Prorated (Attach 6b, Line 28)</t>
  </si>
  <si>
    <t>ADIT 283-Total  (Lines 14+15)</t>
  </si>
  <si>
    <t>Balance-BOY (Attach 6c, Line 18)</t>
  </si>
  <si>
    <t>EOY (Attach 6d, Line 18 less Line 14)</t>
  </si>
  <si>
    <t>EOY Prorated (Attach 6b, Line 42)</t>
  </si>
  <si>
    <t>ADIT 190-Total (Lines 18+19)</t>
  </si>
  <si>
    <t>Attachment 6b - Accumulated Deferred Income Taxes (ADIT) Proration Worksheet (Projection)</t>
  </si>
  <si>
    <t>(h)</t>
  </si>
  <si>
    <t>(i)</t>
  </si>
  <si>
    <t>(j)</t>
  </si>
  <si>
    <t>(k)</t>
  </si>
  <si>
    <t>Weighting for Projection</t>
  </si>
  <si>
    <t>Beginning Balance/
Monthly Increment</t>
  </si>
  <si>
    <t>Transmission Proration
(d) x (f)</t>
  </si>
  <si>
    <t>Plant Proration
(d) x (h)</t>
  </si>
  <si>
    <t>Labor Proration
(d) x (j)</t>
  </si>
  <si>
    <r>
      <t>ADIT-282-Proration-</t>
    </r>
    <r>
      <rPr>
        <b/>
        <sz val="12"/>
        <rFont val="Arial Narrow"/>
        <family val="2"/>
      </rPr>
      <t>Note A</t>
    </r>
  </si>
  <si>
    <t>Balance (Attach 6c, Line 30)</t>
  </si>
  <si>
    <t>Increment</t>
  </si>
  <si>
    <t>ADIT 282-Prorated EOY Balance</t>
  </si>
  <si>
    <r>
      <t>ADIT-283-Proration-</t>
    </r>
    <r>
      <rPr>
        <b/>
        <sz val="12"/>
        <rFont val="Arial Narrow"/>
        <family val="2"/>
      </rPr>
      <t>Note B</t>
    </r>
  </si>
  <si>
    <t>Balance (Attach 6c, Line 44)</t>
  </si>
  <si>
    <t>ADIT 283-Prorated EOY Balance</t>
  </si>
  <si>
    <r>
      <t>ADIT-190-Proration-</t>
    </r>
    <r>
      <rPr>
        <b/>
        <sz val="12"/>
        <rFont val="Arial Narrow"/>
        <family val="2"/>
      </rPr>
      <t>Note C</t>
    </r>
  </si>
  <si>
    <t>Balance (Attach 6c, Line 18)</t>
  </si>
  <si>
    <t>ADIT 190-Prorated EOY Balance</t>
  </si>
  <si>
    <t>Uses a 365 day calendar year.</t>
  </si>
  <si>
    <t>Projected end of year ADIT must be based on solely on enacted tax law.  No assumptions for future estimated changes in tax law may be forecasted.</t>
  </si>
  <si>
    <t>Substantial portion, if not all, of the ADIT-282 balance is subject to proration.  Explanation must be provided for any portion of balance not subject to proration.</t>
  </si>
  <si>
    <t>Only amounts in ADIT-283 relating to Depreciation, if applicable, are subject to proration.  See Line 44 in Attach 6c and 6d.</t>
  </si>
  <si>
    <t>Only amounts in ADIT-190 related to NOL carryforwards, if applicable, are subject to proration.  See Line 18 in Attach 6c and 6d.</t>
  </si>
  <si>
    <t>Attachment 6c - Accumulated Deferred Income Taxes (ADIT) Worksheet (Beginning of Year)</t>
  </si>
  <si>
    <t>Line 30</t>
  </si>
  <si>
    <t>Line 44</t>
  </si>
  <si>
    <t>Line 18</t>
  </si>
  <si>
    <t>Sum of Lines 1-4</t>
  </si>
  <si>
    <t>In filling out this attachment, a full and complete description of each item and justification for the allocation to Columns B-F and each separate ADIT item will be listed.  Dissimilar items with amounts exceeding $100,000 will be listed separately.  For ADIT directly related to project depreciation or CWIP, the balance will be shown in a separate row for each project.</t>
  </si>
  <si>
    <t>Gas, Prod or Other Related</t>
  </si>
  <si>
    <t>Justification</t>
  </si>
  <si>
    <t>NOL</t>
  </si>
  <si>
    <t>Amount subject to Proration</t>
  </si>
  <si>
    <t>Subtotal - p234.b</t>
  </si>
  <si>
    <t>Less FASB 109 Above if not separately removed</t>
  </si>
  <si>
    <t>Less FASB 106 Above if not separately removed</t>
  </si>
  <si>
    <t>Instructions for Account 190:</t>
  </si>
  <si>
    <t>1.  ADIT items related only to Non-Electric Operations (e.g., Gas, Water, Sewer) or Production are directly assigned to Column C</t>
  </si>
  <si>
    <t>2.  ADIT items related only to Transmission are directly assigned to Column D</t>
  </si>
  <si>
    <t>3.  ADIT items related to Plant and not in Columns C &amp; D are included in Column E</t>
  </si>
  <si>
    <t>4.  ADIT items related to labor and not in Columns C &amp; D are included in Column F</t>
  </si>
  <si>
    <t xml:space="preserve">5. Deferred income taxes arise when items are included in taxable income in different periods than they are included in rates, therefore if the item giving rise to the ADIT is not included in the formula, the associated ADIT amount shall be excluded.  This includes but is not limited to SFAS 109  &amp; 158 balance sheet items and the related ADIT.  </t>
  </si>
  <si>
    <t>ADIT- 282</t>
  </si>
  <si>
    <t>Property</t>
  </si>
  <si>
    <t xml:space="preserve">Subtotal - p274.b </t>
  </si>
  <si>
    <t>Instructions for Account 282:</t>
  </si>
  <si>
    <t>ADIT- 283</t>
  </si>
  <si>
    <t xml:space="preserve">Subtotal - p276.b  </t>
  </si>
  <si>
    <t>Instructions for Account 283:</t>
  </si>
  <si>
    <t>Attachment 6d - Accumulated Deferred Income Taxes (ADIT) Worksheet (End of Year)</t>
  </si>
  <si>
    <t>Subtotal - p234.c</t>
  </si>
  <si>
    <t xml:space="preserve">5.  Deferred income taxes arise when items are included in taxable income in different periods than they are included in rates, therefore if the item giving rise to the ADIT is not included in the formula, the associated ADIT amount shall be excluded.  This includes but is not limited to SFAS 109  &amp; 158 balance sheet items and the related ADIT.  </t>
  </si>
  <si>
    <t xml:space="preserve">Subtotal - p275.k </t>
  </si>
  <si>
    <t>Depreciation Items</t>
  </si>
  <si>
    <t xml:space="preserve">Subtotal - p277.k  </t>
  </si>
  <si>
    <t>Attachment 6e - Accumulated Deferred Income Taxes (ADIT) Average Worksheet (True-Up)</t>
  </si>
  <si>
    <t>Total Plant &amp; Labor Related</t>
  </si>
  <si>
    <t>Line 14</t>
  </si>
  <si>
    <t>Line 17</t>
  </si>
  <si>
    <t>Wages &amp; Salary Allocator</t>
  </si>
  <si>
    <t>ADIT Total</t>
  </si>
  <si>
    <t>Balance-EOY (Attach 6d, Line 30 less Line 26)</t>
  </si>
  <si>
    <t>Balance-EOY-Prorated (Attach 6f, Line 14)</t>
  </si>
  <si>
    <t>Balance-EOY-Total (Lines 10+11)</t>
  </si>
  <si>
    <t>Balance-EOY (Attach 6d, Line 44 less Line 40)</t>
  </si>
  <si>
    <t>Balance-EOY-Prorated (Attach 6f, Line 28)</t>
  </si>
  <si>
    <t>Balance-EOY-Total (Lines 14+15)</t>
  </si>
  <si>
    <t>Balance-EOY (Attach 6d, Line 18 less Line 14)</t>
  </si>
  <si>
    <t>Balance-EOY-Prorated (Attach 6f, Line 42)</t>
  </si>
  <si>
    <t>Balance-EOY-Total (Lines 18+19)</t>
  </si>
  <si>
    <t>Attachment 6f - Accumulated Deferred Income Taxes (ADIT) Proration Worksheet (True-up)</t>
  </si>
  <si>
    <t>(l)</t>
  </si>
  <si>
    <t>(m)</t>
  </si>
  <si>
    <t xml:space="preserve">Monthly Increment </t>
  </si>
  <si>
    <t>Proration
(d) x (e)</t>
  </si>
  <si>
    <t>Prorated Projected Balance (Cumulative Sum of f)</t>
  </si>
  <si>
    <t>Actual Monthly Activity</t>
  </si>
  <si>
    <t>Difference between projected and actual activity</t>
  </si>
  <si>
    <t>Partially prorate actual activity above Monthly projection</t>
  </si>
  <si>
    <t>Partially prorate actual activity below Monthly projection but increases ADIT</t>
  </si>
  <si>
    <t>Partially prorate actual activity below Monthly projection and is a reduction to ADIT</t>
  </si>
  <si>
    <t>Partially prorated actual balance</t>
  </si>
  <si>
    <r>
      <t>ADIT-282-Proration-</t>
    </r>
    <r>
      <rPr>
        <b/>
        <sz val="10"/>
        <rFont val="Arial Narrow"/>
        <family val="2"/>
      </rPr>
      <t>Note A</t>
    </r>
  </si>
  <si>
    <t>Balance (Attach 4c, Line 30)</t>
  </si>
  <si>
    <r>
      <t>ADIT-283-Proration-</t>
    </r>
    <r>
      <rPr>
        <b/>
        <sz val="10"/>
        <rFont val="Arial Narrow"/>
        <family val="2"/>
      </rPr>
      <t>Note B</t>
    </r>
  </si>
  <si>
    <t>Balance (Attach 4c, Line 44)</t>
  </si>
  <si>
    <r>
      <t>ADIT-190-Proration-</t>
    </r>
    <r>
      <rPr>
        <b/>
        <sz val="10"/>
        <rFont val="Arial Narrow"/>
        <family val="2"/>
      </rPr>
      <t>Note C</t>
    </r>
  </si>
  <si>
    <t>Balance (Attach 4c, Line 18)</t>
  </si>
  <si>
    <t>Only amounts in ADIT-283 relating to Depreciation, if applicable, are subject to proration.  See Line 44 in Attach 4c and 4d.</t>
  </si>
  <si>
    <t>Only amounts in ADIT-190 related to NOL carryforwards, if applicable, are subject to proration.  See Line 18 in Attach 4c and 4d.</t>
  </si>
  <si>
    <t>Attachment 7 - Unfunded Reserves</t>
  </si>
  <si>
    <t xml:space="preserve">                                           Horizon West Transmission, LLC </t>
  </si>
  <si>
    <t xml:space="preserve">(c) </t>
  </si>
  <si>
    <t xml:space="preserve">(e) </t>
  </si>
  <si>
    <t>(n)</t>
  </si>
  <si>
    <t>(o)</t>
  </si>
  <si>
    <t>(p)</t>
  </si>
  <si>
    <t>(q)</t>
  </si>
  <si>
    <t xml:space="preserve">(r) </t>
  </si>
  <si>
    <t>(s)</t>
  </si>
  <si>
    <t>Subaccount No. (1)</t>
  </si>
  <si>
    <t>Item Description</t>
  </si>
  <si>
    <t>Dec. 31</t>
  </si>
  <si>
    <t>Jan. 31</t>
  </si>
  <si>
    <t>Feb. 28/29</t>
  </si>
  <si>
    <t>Mar. 31</t>
  </si>
  <si>
    <t>Apr. 30</t>
  </si>
  <si>
    <t>May 31</t>
  </si>
  <si>
    <t>Jun. 30</t>
  </si>
  <si>
    <t>Jul. 31</t>
  </si>
  <si>
    <t>Aug. 31</t>
  </si>
  <si>
    <t>Sept. 30</t>
  </si>
  <si>
    <t>Oct. 31</t>
  </si>
  <si>
    <t>Nov. 30</t>
  </si>
  <si>
    <t>Average of Columns (c) Through (o)</t>
  </si>
  <si>
    <t>×</t>
  </si>
  <si>
    <t>% Customer Funded</t>
  </si>
  <si>
    <t>% Non-Restricted</t>
  </si>
  <si>
    <t>Balance in Rate Base</t>
  </si>
  <si>
    <t>1b</t>
  </si>
  <si>
    <t>1c</t>
  </si>
  <si>
    <t>Total Company-Wide Reserves:</t>
  </si>
  <si>
    <t>Total Unfunded Reserves in Rate Base:</t>
  </si>
  <si>
    <t>Notes:</t>
  </si>
  <si>
    <r>
      <rPr>
        <sz val="8"/>
        <rFont val="Arial"/>
        <family val="2"/>
      </rPr>
      <t>Horizon West mus</t>
    </r>
    <r>
      <rPr>
        <sz val="8"/>
        <color theme="1"/>
        <rFont val="Arial"/>
        <family val="2"/>
      </rPr>
      <t>t list ALL unfunded reserves on its books by subaccount, specifically including (but not limited to) all subaccounts for FERC Account Nos. 228.1 through 228.4.  "Unfunded reserve" is defined as an accrued balance (1) created and increased by debiting an expense which is included in this formula rate; (2) in advance of an anticipated expenditure related to that expense; (3) that is not deposited in a restricted account (e.g., set aside in an escrow account) with the earnings thereon retained within that account.  Where a given reserve is only partially funded through accruals collected from customers, only the balance funded by customer collections shall serve as a rate base credit and the input in Col (q) will be less than 1.  Where the full reserve is deposited into a trust the input in Col (r) will be zero.  Where only a portion of the reserve is deposited into a trust the input in Col (r) will be the percentage of the reserve not deposited to the trust.  The source of monthly balance data is company records.</t>
    </r>
  </si>
  <si>
    <t>Attachment 8 - CWIP in Rate Base</t>
  </si>
  <si>
    <t xml:space="preserve">                                                    Horizon West Transmission, LLC</t>
  </si>
  <si>
    <t xml:space="preserve">    Horizon West Transmission, LLC</t>
  </si>
  <si>
    <t>(t)</t>
  </si>
  <si>
    <t>(u)</t>
  </si>
  <si>
    <t>Project Name</t>
  </si>
  <si>
    <t>Job ID</t>
  </si>
  <si>
    <t>Construction Start Date</t>
  </si>
  <si>
    <t>Estimated In-Service Date</t>
  </si>
  <si>
    <t>Approval Docket No.</t>
  </si>
  <si>
    <t>Average Balance of Columns (f) through (r)</t>
  </si>
  <si>
    <t>% Approved for Recovery (2)</t>
  </si>
  <si>
    <t>Rate Base Amount</t>
  </si>
  <si>
    <t>Total CWIP in Rate Base:</t>
  </si>
  <si>
    <t>General notes:  (1) Source of monthly balance data on this page is company records.</t>
  </si>
  <si>
    <t>Percentages in Column (t) may only be changed pursuant to FERC approval.</t>
  </si>
  <si>
    <r>
      <t xml:space="preserve">Attachment 9 - </t>
    </r>
    <r>
      <rPr>
        <sz val="12"/>
        <color indexed="8"/>
        <rFont val="Arial Narrow"/>
        <family val="2"/>
      </rPr>
      <t>Depreciation and Amortization Rates</t>
    </r>
    <r>
      <rPr>
        <sz val="12"/>
        <rFont val="Arial Narrow"/>
        <family val="2"/>
      </rPr>
      <t xml:space="preserve"> </t>
    </r>
  </si>
  <si>
    <r>
      <t xml:space="preserve"> </t>
    </r>
    <r>
      <rPr>
        <sz val="12"/>
        <color indexed="8"/>
        <rFont val="Arial Narrow"/>
        <family val="2"/>
      </rPr>
      <t>Account Number</t>
    </r>
    <r>
      <rPr>
        <sz val="12"/>
        <rFont val="Arial Narrow"/>
        <family val="2"/>
      </rPr>
      <t xml:space="preserve"> </t>
    </r>
  </si>
  <si>
    <r>
      <t xml:space="preserve"> </t>
    </r>
    <r>
      <rPr>
        <sz val="12"/>
        <color indexed="8"/>
        <rFont val="Arial Narrow"/>
        <family val="2"/>
      </rPr>
      <t>FERC Account</t>
    </r>
    <r>
      <rPr>
        <sz val="12"/>
        <rFont val="Arial Narrow"/>
        <family val="2"/>
      </rPr>
      <t xml:space="preserve"> </t>
    </r>
  </si>
  <si>
    <r>
      <t xml:space="preserve"> </t>
    </r>
    <r>
      <rPr>
        <sz val="12"/>
        <color indexed="8"/>
        <rFont val="Arial Narrow"/>
        <family val="2"/>
      </rPr>
      <t>Rate (Annual)Percent</t>
    </r>
    <r>
      <rPr>
        <sz val="12"/>
        <rFont val="Arial Narrow"/>
        <family val="2"/>
      </rPr>
      <t xml:space="preserve"> </t>
    </r>
  </si>
  <si>
    <r>
      <t xml:space="preserve"> </t>
    </r>
    <r>
      <rPr>
        <b/>
        <sz val="12"/>
        <color indexed="8"/>
        <rFont val="Arial Narrow"/>
        <family val="2"/>
      </rPr>
      <t>TRANSMISSION PLANT</t>
    </r>
    <r>
      <rPr>
        <b/>
        <sz val="12"/>
        <rFont val="Arial Narrow"/>
        <family val="2"/>
      </rPr>
      <t xml:space="preserve"> </t>
    </r>
  </si>
  <si>
    <t>350.1</t>
  </si>
  <si>
    <t xml:space="preserve"> Fee Land</t>
  </si>
  <si>
    <t>350.2</t>
  </si>
  <si>
    <r>
      <t xml:space="preserve"> </t>
    </r>
    <r>
      <rPr>
        <sz val="12"/>
        <color indexed="8"/>
        <rFont val="Arial Narrow"/>
        <family val="2"/>
      </rPr>
      <t>Land Rights</t>
    </r>
    <r>
      <rPr>
        <sz val="12"/>
        <rFont val="Arial Narrow"/>
        <family val="2"/>
      </rPr>
      <t xml:space="preserve"> </t>
    </r>
  </si>
  <si>
    <t>352</t>
  </si>
  <si>
    <r>
      <t xml:space="preserve"> </t>
    </r>
    <r>
      <rPr>
        <sz val="12"/>
        <color indexed="8"/>
        <rFont val="Arial Narrow"/>
        <family val="2"/>
      </rPr>
      <t>Structures and Improvements</t>
    </r>
    <r>
      <rPr>
        <sz val="12"/>
        <rFont val="Arial Narrow"/>
        <family val="2"/>
      </rPr>
      <t xml:space="preserve"> </t>
    </r>
  </si>
  <si>
    <t>353</t>
  </si>
  <si>
    <r>
      <t xml:space="preserve"> </t>
    </r>
    <r>
      <rPr>
        <sz val="12"/>
        <color indexed="8"/>
        <rFont val="Arial Narrow"/>
        <family val="2"/>
      </rPr>
      <t>Station Equipment</t>
    </r>
    <r>
      <rPr>
        <sz val="12"/>
        <rFont val="Arial Narrow"/>
        <family val="2"/>
      </rPr>
      <t xml:space="preserve"> </t>
    </r>
  </si>
  <si>
    <r>
      <rPr>
        <sz val="12"/>
        <color indexed="8"/>
        <rFont val="Arial Narrow"/>
        <family val="2"/>
      </rPr>
      <t>354</t>
    </r>
    <r>
      <rPr>
        <sz val="12"/>
        <rFont val="Arial Narrow"/>
        <family val="2"/>
      </rPr>
      <t xml:space="preserve"> </t>
    </r>
  </si>
  <si>
    <r>
      <t xml:space="preserve"> </t>
    </r>
    <r>
      <rPr>
        <sz val="12"/>
        <color indexed="8"/>
        <rFont val="Arial Narrow"/>
        <family val="2"/>
      </rPr>
      <t>Towers and Fixtures</t>
    </r>
    <r>
      <rPr>
        <sz val="12"/>
        <rFont val="Arial Narrow"/>
        <family val="2"/>
      </rPr>
      <t xml:space="preserve"> </t>
    </r>
  </si>
  <si>
    <r>
      <rPr>
        <sz val="12"/>
        <color indexed="8"/>
        <rFont val="Arial Narrow"/>
        <family val="2"/>
      </rPr>
      <t>355</t>
    </r>
    <r>
      <rPr>
        <sz val="12"/>
        <rFont val="Arial Narrow"/>
        <family val="2"/>
      </rPr>
      <t xml:space="preserve"> </t>
    </r>
  </si>
  <si>
    <r>
      <t xml:space="preserve"> </t>
    </r>
    <r>
      <rPr>
        <sz val="12"/>
        <color indexed="8"/>
        <rFont val="Arial Narrow"/>
        <family val="2"/>
      </rPr>
      <t>Poles and Fixtures</t>
    </r>
  </si>
  <si>
    <r>
      <rPr>
        <sz val="12"/>
        <color indexed="8"/>
        <rFont val="Arial Narrow"/>
        <family val="2"/>
      </rPr>
      <t>356</t>
    </r>
    <r>
      <rPr>
        <sz val="12"/>
        <rFont val="Arial Narrow"/>
        <family val="2"/>
      </rPr>
      <t xml:space="preserve"> </t>
    </r>
  </si>
  <si>
    <r>
      <t xml:space="preserve"> </t>
    </r>
    <r>
      <rPr>
        <sz val="12"/>
        <color indexed="8"/>
        <rFont val="Arial Narrow"/>
        <family val="2"/>
      </rPr>
      <t>Overhead Conductor and Devices</t>
    </r>
    <r>
      <rPr>
        <sz val="12"/>
        <rFont val="Arial Narrow"/>
        <family val="2"/>
      </rPr>
      <t xml:space="preserve"> </t>
    </r>
  </si>
  <si>
    <r>
      <rPr>
        <sz val="12"/>
        <color indexed="8"/>
        <rFont val="Arial Narrow"/>
        <family val="2"/>
      </rPr>
      <t>357</t>
    </r>
    <r>
      <rPr>
        <sz val="12"/>
        <rFont val="Arial Narrow"/>
        <family val="2"/>
      </rPr>
      <t xml:space="preserve"> </t>
    </r>
  </si>
  <si>
    <r>
      <t xml:space="preserve"> </t>
    </r>
    <r>
      <rPr>
        <sz val="12"/>
        <color indexed="8"/>
        <rFont val="Arial Narrow"/>
        <family val="2"/>
      </rPr>
      <t>Underground Conduit</t>
    </r>
    <r>
      <rPr>
        <sz val="12"/>
        <rFont val="Arial Narrow"/>
        <family val="2"/>
      </rPr>
      <t xml:space="preserve"> </t>
    </r>
  </si>
  <si>
    <r>
      <rPr>
        <sz val="12"/>
        <color indexed="8"/>
        <rFont val="Arial Narrow"/>
        <family val="2"/>
      </rPr>
      <t>358</t>
    </r>
    <r>
      <rPr>
        <sz val="12"/>
        <rFont val="Arial Narrow"/>
        <family val="2"/>
      </rPr>
      <t xml:space="preserve"> </t>
    </r>
  </si>
  <si>
    <r>
      <t xml:space="preserve"> </t>
    </r>
    <r>
      <rPr>
        <sz val="12"/>
        <color indexed="8"/>
        <rFont val="Arial Narrow"/>
        <family val="2"/>
      </rPr>
      <t>Underground Conductor and Devices</t>
    </r>
    <r>
      <rPr>
        <sz val="12"/>
        <rFont val="Arial Narrow"/>
        <family val="2"/>
      </rPr>
      <t xml:space="preserve"> </t>
    </r>
  </si>
  <si>
    <r>
      <rPr>
        <sz val="12"/>
        <color indexed="8"/>
        <rFont val="Arial Narrow"/>
        <family val="2"/>
      </rPr>
      <t>359</t>
    </r>
    <r>
      <rPr>
        <sz val="12"/>
        <rFont val="Arial Narrow"/>
        <family val="2"/>
      </rPr>
      <t xml:space="preserve"> </t>
    </r>
  </si>
  <si>
    <r>
      <t xml:space="preserve"> </t>
    </r>
    <r>
      <rPr>
        <sz val="12"/>
        <color indexed="8"/>
        <rFont val="Arial Narrow"/>
        <family val="2"/>
      </rPr>
      <t>Roads and Trails</t>
    </r>
    <r>
      <rPr>
        <sz val="12"/>
        <rFont val="Arial Narrow"/>
        <family val="2"/>
      </rPr>
      <t xml:space="preserve"> </t>
    </r>
  </si>
  <si>
    <r>
      <t xml:space="preserve"> </t>
    </r>
    <r>
      <rPr>
        <b/>
        <sz val="12"/>
        <color indexed="8"/>
        <rFont val="Arial Narrow"/>
        <family val="2"/>
      </rPr>
      <t>GENERAL PLANT</t>
    </r>
    <r>
      <rPr>
        <sz val="12"/>
        <rFont val="Arial Narrow"/>
        <family val="2"/>
      </rPr>
      <t xml:space="preserve"> </t>
    </r>
  </si>
  <si>
    <r>
      <rPr>
        <sz val="12"/>
        <color indexed="8"/>
        <rFont val="Arial Narrow"/>
        <family val="2"/>
      </rPr>
      <t>390</t>
    </r>
    <r>
      <rPr>
        <sz val="12"/>
        <rFont val="Arial Narrow"/>
        <family val="2"/>
      </rPr>
      <t xml:space="preserve"> </t>
    </r>
  </si>
  <si>
    <r>
      <t xml:space="preserve"> </t>
    </r>
    <r>
      <rPr>
        <sz val="12"/>
        <color indexed="8"/>
        <rFont val="Arial Narrow"/>
        <family val="2"/>
      </rPr>
      <t>Structures &amp; Improvements</t>
    </r>
    <r>
      <rPr>
        <sz val="12"/>
        <rFont val="Arial Narrow"/>
        <family val="2"/>
      </rPr>
      <t xml:space="preserve"> </t>
    </r>
  </si>
  <si>
    <r>
      <rPr>
        <sz val="12"/>
        <color indexed="8"/>
        <rFont val="Arial Narrow"/>
        <family val="2"/>
      </rPr>
      <t>391</t>
    </r>
    <r>
      <rPr>
        <sz val="12"/>
        <rFont val="Arial Narrow"/>
        <family val="2"/>
      </rPr>
      <t xml:space="preserve"> </t>
    </r>
  </si>
  <si>
    <r>
      <t xml:space="preserve"> </t>
    </r>
    <r>
      <rPr>
        <sz val="12"/>
        <color indexed="8"/>
        <rFont val="Arial Narrow"/>
        <family val="2"/>
      </rPr>
      <t>Office Furniture &amp; Equipment</t>
    </r>
    <r>
      <rPr>
        <sz val="12"/>
        <rFont val="Arial Narrow"/>
        <family val="2"/>
      </rPr>
      <t xml:space="preserve"> </t>
    </r>
  </si>
  <si>
    <t xml:space="preserve"> Transportation Equipment</t>
  </si>
  <si>
    <t>392.3</t>
  </si>
  <si>
    <t xml:space="preserve"> Heavy Truck (7 year depreciation)</t>
  </si>
  <si>
    <r>
      <rPr>
        <sz val="12"/>
        <color indexed="8"/>
        <rFont val="Arial Narrow"/>
        <family val="2"/>
      </rPr>
      <t>393</t>
    </r>
    <r>
      <rPr>
        <sz val="12"/>
        <rFont val="Arial Narrow"/>
        <family val="2"/>
      </rPr>
      <t xml:space="preserve"> </t>
    </r>
  </si>
  <si>
    <r>
      <t xml:space="preserve"> </t>
    </r>
    <r>
      <rPr>
        <sz val="12"/>
        <color indexed="8"/>
        <rFont val="Arial Narrow"/>
        <family val="2"/>
      </rPr>
      <t>Stores Equipment</t>
    </r>
    <r>
      <rPr>
        <sz val="12"/>
        <rFont val="Arial Narrow"/>
        <family val="2"/>
      </rPr>
      <t xml:space="preserve"> </t>
    </r>
  </si>
  <si>
    <r>
      <rPr>
        <sz val="12"/>
        <color indexed="8"/>
        <rFont val="Arial Narrow"/>
        <family val="2"/>
      </rPr>
      <t>394</t>
    </r>
    <r>
      <rPr>
        <sz val="12"/>
        <rFont val="Arial Narrow"/>
        <family val="2"/>
      </rPr>
      <t xml:space="preserve"> </t>
    </r>
  </si>
  <si>
    <r>
      <t xml:space="preserve"> </t>
    </r>
    <r>
      <rPr>
        <sz val="12"/>
        <color indexed="8"/>
        <rFont val="Arial Narrow"/>
        <family val="2"/>
      </rPr>
      <t>Tools, Shop &amp; Garage Equipment</t>
    </r>
    <r>
      <rPr>
        <sz val="12"/>
        <rFont val="Arial Narrow"/>
        <family val="2"/>
      </rPr>
      <t xml:space="preserve"> </t>
    </r>
  </si>
  <si>
    <r>
      <rPr>
        <sz val="12"/>
        <color indexed="8"/>
        <rFont val="Arial Narrow"/>
        <family val="2"/>
      </rPr>
      <t>395</t>
    </r>
    <r>
      <rPr>
        <sz val="12"/>
        <rFont val="Arial Narrow"/>
        <family val="2"/>
      </rPr>
      <t xml:space="preserve"> </t>
    </r>
  </si>
  <si>
    <r>
      <t xml:space="preserve"> </t>
    </r>
    <r>
      <rPr>
        <sz val="12"/>
        <color indexed="8"/>
        <rFont val="Arial Narrow"/>
        <family val="2"/>
      </rPr>
      <t>Laboratory Equipment</t>
    </r>
    <r>
      <rPr>
        <sz val="12"/>
        <rFont val="Arial Narrow"/>
        <family val="2"/>
      </rPr>
      <t xml:space="preserve"> </t>
    </r>
  </si>
  <si>
    <t>397</t>
  </si>
  <si>
    <r>
      <t xml:space="preserve"> </t>
    </r>
    <r>
      <rPr>
        <sz val="12"/>
        <color indexed="8"/>
        <rFont val="Arial Narrow"/>
        <family val="2"/>
      </rPr>
      <t>Communication Equipment</t>
    </r>
    <r>
      <rPr>
        <sz val="12"/>
        <rFont val="Arial Narrow"/>
        <family val="2"/>
      </rPr>
      <t xml:space="preserve"> </t>
    </r>
  </si>
  <si>
    <r>
      <t xml:space="preserve"> </t>
    </r>
    <r>
      <rPr>
        <sz val="12"/>
        <color indexed="8"/>
        <rFont val="Arial Narrow"/>
        <family val="2"/>
      </rPr>
      <t>398</t>
    </r>
    <r>
      <rPr>
        <sz val="12"/>
        <rFont val="Arial Narrow"/>
        <family val="2"/>
      </rPr>
      <t xml:space="preserve"> </t>
    </r>
  </si>
  <si>
    <r>
      <t xml:space="preserve"> </t>
    </r>
    <r>
      <rPr>
        <sz val="12"/>
        <color indexed="8"/>
        <rFont val="Arial Narrow"/>
        <family val="2"/>
      </rPr>
      <t>Miscellaneous Equipment</t>
    </r>
    <r>
      <rPr>
        <sz val="12"/>
        <rFont val="Arial Narrow"/>
        <family val="2"/>
      </rPr>
      <t xml:space="preserve"> </t>
    </r>
  </si>
  <si>
    <r>
      <t xml:space="preserve"> </t>
    </r>
    <r>
      <rPr>
        <b/>
        <sz val="12"/>
        <color indexed="8"/>
        <rFont val="Arial Narrow"/>
        <family val="2"/>
      </rPr>
      <t>INTANGIBLE PLANT</t>
    </r>
    <r>
      <rPr>
        <sz val="12"/>
        <rFont val="Arial Narrow"/>
        <family val="2"/>
      </rPr>
      <t xml:space="preserve"> </t>
    </r>
  </si>
  <si>
    <t>301</t>
  </si>
  <si>
    <t>Organization</t>
  </si>
  <si>
    <t>Intangible</t>
  </si>
  <si>
    <r>
      <rPr>
        <sz val="12"/>
        <color indexed="8"/>
        <rFont val="Arial Narrow"/>
        <family val="2"/>
      </rPr>
      <t>303</t>
    </r>
    <r>
      <rPr>
        <sz val="12"/>
        <rFont val="Arial Narrow"/>
        <family val="2"/>
      </rPr>
      <t xml:space="preserve"> </t>
    </r>
  </si>
  <si>
    <r>
      <t xml:space="preserve"> </t>
    </r>
    <r>
      <rPr>
        <sz val="12"/>
        <color indexed="8"/>
        <rFont val="Arial Narrow"/>
        <family val="2"/>
      </rPr>
      <t>Miscellaneous Intangible Plant</t>
    </r>
    <r>
      <rPr>
        <sz val="12"/>
        <rFont val="Arial Narrow"/>
        <family val="2"/>
      </rPr>
      <t xml:space="preserve"> </t>
    </r>
  </si>
  <si>
    <t xml:space="preserve">     5 Year Property</t>
  </si>
  <si>
    <t xml:space="preserve">     7 Year Property</t>
  </si>
  <si>
    <t xml:space="preserve">     10 Year Property</t>
  </si>
  <si>
    <r>
      <rPr>
        <sz val="12"/>
        <color indexed="8"/>
        <rFont val="Arial Narrow"/>
        <family val="2"/>
      </rPr>
      <t xml:space="preserve"> Transmission facility Contributions in Aid of Construction</t>
    </r>
    <r>
      <rPr>
        <sz val="12"/>
        <rFont val="Arial Narrow"/>
        <family val="2"/>
      </rPr>
      <t xml:space="preserve"> </t>
    </r>
  </si>
  <si>
    <r>
      <t xml:space="preserve"> </t>
    </r>
    <r>
      <rPr>
        <sz val="12"/>
        <color indexed="8"/>
        <rFont val="Arial Narrow"/>
        <family val="2"/>
      </rPr>
      <t>Note 1</t>
    </r>
    <r>
      <rPr>
        <sz val="12"/>
        <rFont val="Arial Narrow"/>
        <family val="2"/>
      </rPr>
      <t xml:space="preserve"> </t>
    </r>
  </si>
  <si>
    <t xml:space="preserve">Note 1: In the event a Contribution in Aid of Construction (CIAC) is made for a transmission facility, the transmission depreciation rates above will be weighted based on the relative amount of underlying plant booked to the accounts shown in lines 1-10 above, and the resultant weighted average depreciation rate will be used to determine the life over which to amortize the CIAC.  The life of each facility subject to a CIAC will be estimated in this manner at the time the plant is placed into service, and will not change over the life of the CIAC without FERC approval.  The combined amortization expense for all CIACs shall be the sum of each individual CIAC balance amortized over the life of each individual CIAC established in this manner. </t>
  </si>
  <si>
    <r>
      <t xml:space="preserve"> </t>
    </r>
    <r>
      <rPr>
        <sz val="12"/>
        <color indexed="8"/>
        <rFont val="Arial Narrow"/>
        <family val="2"/>
      </rPr>
      <t>These depreciation rates will not change absent the appropriate filing at FERC.</t>
    </r>
    <r>
      <rPr>
        <sz val="12"/>
        <rFont val="Arial Narrow"/>
        <family val="2"/>
      </rPr>
      <t xml:space="preserve"> </t>
    </r>
  </si>
  <si>
    <t>Attachment 10 - Land Held for Future Use</t>
  </si>
  <si>
    <t>Subaccount No.</t>
  </si>
  <si>
    <t>Item Name</t>
  </si>
  <si>
    <t>Land Held for Future Use</t>
  </si>
  <si>
    <t>Average of Columns (e) Through (q)</t>
  </si>
  <si>
    <t>Total Land Held for Future Use in rate base:</t>
  </si>
  <si>
    <t xml:space="preserve">General note:  Source of monthly balance data on this page is company records and only Land Held for Future Use that is included in transmission </t>
  </si>
  <si>
    <t xml:space="preserve">     specific plans may be included on this attachment.</t>
  </si>
  <si>
    <t xml:space="preserve">Attachment 11 - Regulatory Assets and Abandoned Plant </t>
  </si>
  <si>
    <t>(v)</t>
  </si>
  <si>
    <t>(w)</t>
  </si>
  <si>
    <t>(x)</t>
  </si>
  <si>
    <t>(y)</t>
  </si>
  <si>
    <t>(z)</t>
  </si>
  <si>
    <t>(aa)</t>
  </si>
  <si>
    <t>Recovery Amount Approved (1)</t>
  </si>
  <si>
    <t>÷</t>
  </si>
  <si>
    <t>Recovery Period (Months) (1)</t>
  </si>
  <si>
    <t>Monthly Amort. Expense</t>
  </si>
  <si>
    <t>Amort. Periods This Year</t>
  </si>
  <si>
    <t>Current Year Amort. Expense</t>
  </si>
  <si>
    <t>% Allocable to Formula Rate (1)</t>
  </si>
  <si>
    <t>Amort. Expense in Formula Rate</t>
  </si>
  <si>
    <t>Average Unamortized Balance (2)</t>
  </si>
  <si>
    <t>% Approved for Rate Base Treatment (1)</t>
  </si>
  <si>
    <t>Allocable to Formula Rate</t>
  </si>
  <si>
    <t>Rate Base Balance</t>
  </si>
  <si>
    <t>Internal ID or Code</t>
  </si>
  <si>
    <t>Docket No.</t>
  </si>
  <si>
    <t>Pre Commercial Costs</t>
  </si>
  <si>
    <t>ER20-2010-000</t>
  </si>
  <si>
    <t>Total Regulatory Asset and Abandoned Plant Amortization Expense:</t>
  </si>
  <si>
    <t>General Note:  The source for monthly balance data on this page are company records.  Amounts shown are total amounts.</t>
  </si>
  <si>
    <t>Total Regulatory Assets and Abandoned Plant in Rate Base:</t>
  </si>
  <si>
    <t>NOTES:</t>
  </si>
  <si>
    <t>Non-zero values in this column may only be established and changed  subject to Commission direction or approval pursuant to an appropriate §205, §206, or §219 filing.</t>
  </si>
  <si>
    <t>Average balance calculated as [sum of columns (i) through (u)] ÷13.</t>
  </si>
  <si>
    <t>Attachment 12 - Income Tax Adjustment</t>
  </si>
  <si>
    <t>Horizon West Transmission LLC</t>
  </si>
  <si>
    <t>Income Tax Adjustments</t>
  </si>
  <si>
    <t>Dec 31,</t>
  </si>
  <si>
    <t>Total Tax adjustment for Permanent Differences</t>
  </si>
  <si>
    <t>Tax adjustment for AFUDC Equity</t>
  </si>
  <si>
    <t>Tax Adjustment for Meals &amp; Entertainment</t>
  </si>
  <si>
    <t>For the 12 months ended 12/31/2020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</si>
</sst>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 #,##0.0000_);_(* \(#,##0.0000\);_(* &quot;-&quot;??_);_(@_)"/>
    <numFmt numFmtId="167" formatCode="0.00000"/>
    <numFmt numFmtId="168" formatCode="0.000%"/>
    <numFmt numFmtId="169" formatCode="#,##0.0000"/>
    <numFmt numFmtId="170" formatCode="#,##0.00000"/>
    <numFmt numFmtId="171" formatCode="0.0000"/>
    <numFmt numFmtId="172" formatCode="_(* #,##0.000_);_(* \(#,##0.000\);_(* &quot;-&quot;??_);_(@_)"/>
    <numFmt numFmtId="173" formatCode="&quot;$&quot;#,##0"/>
    <numFmt numFmtId="174" formatCode="0.000000%"/>
    <numFmt numFmtId="175" formatCode="0_);\(0\)"/>
    <numFmt numFmtId="176" formatCode="0.0%"/>
    <numFmt numFmtId="177" formatCode="0.0000%"/>
    <numFmt numFmtId="178" formatCode="_(* #,##0.0_);_(* \(#,##0.0\);_(* &quot;-&quot;??_);_(@_)"/>
    <numFmt numFmtId="179" formatCode="_(&quot;$&quot;* #,##0_);_(&quot;$&quot;* \(#,##0\);_(&quot;$&quot;* &quot;-&quot;??_);_(@_)"/>
  </numFmts>
  <fonts count="46">
    <font>
      <sz val="12"/>
      <name val="Arial MT"/>
    </font>
    <font>
      <sz val="11"/>
      <color theme="1"/>
      <name val="Calibri"/>
      <family val="2"/>
      <scheme val="minor"/>
    </font>
    <font>
      <sz val="12"/>
      <name val="Arial MT"/>
    </font>
    <font>
      <sz val="12"/>
      <name val="Arial Narrow"/>
      <family val="2"/>
    </font>
    <font>
      <strike/>
      <sz val="12"/>
      <color indexed="10"/>
      <name val="Arial Narrow"/>
      <family val="2"/>
    </font>
    <font>
      <b/>
      <sz val="12"/>
      <name val="Arial Narrow"/>
      <family val="2"/>
    </font>
    <font>
      <b/>
      <strike/>
      <sz val="12"/>
      <color rgb="FFFF0000"/>
      <name val="Arial Narrow"/>
      <family val="2"/>
    </font>
    <font>
      <sz val="10"/>
      <name val="Arial"/>
      <family val="2"/>
    </font>
    <font>
      <sz val="12"/>
      <color indexed="12"/>
      <name val="Arial MT"/>
    </font>
    <font>
      <b/>
      <sz val="12"/>
      <color rgb="FFFF0000"/>
      <name val="Arial Narrow"/>
      <family val="2"/>
    </font>
    <font>
      <sz val="12"/>
      <color indexed="12"/>
      <name val="Arial Narrow"/>
      <family val="2"/>
    </font>
    <font>
      <b/>
      <u/>
      <sz val="12"/>
      <name val="Arial Narrow"/>
      <family val="2"/>
    </font>
    <font>
      <sz val="12"/>
      <color indexed="10"/>
      <name val="Arial Narrow"/>
      <family val="2"/>
    </font>
    <font>
      <b/>
      <sz val="12"/>
      <name val="Arial MT"/>
    </font>
    <font>
      <sz val="14"/>
      <name val="Arial Narrow"/>
      <family val="2"/>
    </font>
    <font>
      <sz val="12"/>
      <color indexed="17"/>
      <name val="Arial"/>
      <family val="2"/>
    </font>
    <font>
      <sz val="12"/>
      <name val="Arial"/>
      <family val="2"/>
    </font>
    <font>
      <sz val="12"/>
      <name val="Helv"/>
    </font>
    <font>
      <sz val="10"/>
      <name val="Arial MT"/>
    </font>
    <font>
      <sz val="12"/>
      <color rgb="FFFF0000"/>
      <name val="Arial Narrow"/>
      <family val="2"/>
    </font>
    <font>
      <sz val="10"/>
      <color indexed="10"/>
      <name val="Arial"/>
      <family val="2"/>
    </font>
    <font>
      <u/>
      <sz val="12"/>
      <name val="Arial Narrow"/>
      <family val="2"/>
    </font>
    <font>
      <b/>
      <sz val="14"/>
      <name val="Arial"/>
      <family val="2"/>
    </font>
    <font>
      <b/>
      <sz val="12"/>
      <color indexed="10"/>
      <name val="Arial Narrow"/>
      <family val="2"/>
    </font>
    <font>
      <b/>
      <sz val="10"/>
      <color indexed="10"/>
      <name val="Arial"/>
      <family val="2"/>
    </font>
    <font>
      <i/>
      <sz val="10"/>
      <name val="Arial"/>
      <family val="2"/>
    </font>
    <font>
      <sz val="10"/>
      <color theme="1"/>
      <name val="Calibri"/>
      <family val="2"/>
      <scheme val="minor"/>
    </font>
    <font>
      <sz val="10"/>
      <name val="Times New Roman"/>
      <family val="1"/>
    </font>
    <font>
      <sz val="10"/>
      <color indexed="40"/>
      <name val="Times New Roman"/>
      <family val="1"/>
    </font>
    <font>
      <strike/>
      <sz val="10"/>
      <name val="Times New Roman"/>
      <family val="1"/>
    </font>
    <font>
      <sz val="12"/>
      <color rgb="FF1F497D"/>
      <name val="Arial Narrow"/>
      <family val="2"/>
    </font>
    <font>
      <sz val="12"/>
      <name val="Times New Roman"/>
      <family val="1"/>
    </font>
    <font>
      <sz val="14"/>
      <name val="Arial"/>
      <family val="2"/>
    </font>
    <font>
      <b/>
      <sz val="12"/>
      <name val="Arial"/>
      <family val="2"/>
    </font>
    <font>
      <sz val="10"/>
      <name val="Arial Narrow"/>
      <family val="2"/>
    </font>
    <font>
      <b/>
      <sz val="10"/>
      <name val="Arial Narrow"/>
      <family val="2"/>
    </font>
    <font>
      <sz val="8"/>
      <color theme="1"/>
      <name val="Arial"/>
      <family val="2"/>
    </font>
    <font>
      <b/>
      <strike/>
      <sz val="12"/>
      <color rgb="FFFF0000"/>
      <name val="Arial MT"/>
    </font>
    <font>
      <b/>
      <sz val="8"/>
      <color theme="1"/>
      <name val="Arial"/>
      <family val="2"/>
    </font>
    <font>
      <sz val="8"/>
      <name val="Arial"/>
      <family val="2"/>
    </font>
    <font>
      <sz val="12"/>
      <color theme="1"/>
      <name val="Arial Narrow"/>
      <family val="2"/>
    </font>
    <font>
      <b/>
      <sz val="12"/>
      <color theme="1"/>
      <name val="Arial Narrow"/>
      <family val="2"/>
    </font>
    <font>
      <sz val="12"/>
      <color indexed="8"/>
      <name val="Arial Narrow"/>
      <family val="2"/>
    </font>
    <font>
      <b/>
      <sz val="12"/>
      <color indexed="8"/>
      <name val="Arial Narrow"/>
      <family val="2"/>
    </font>
    <font>
      <sz val="11"/>
      <name val="Arial Narrow"/>
      <family val="2"/>
    </font>
    <font>
      <b/>
      <sz val="11"/>
      <name val="Arial Narrow"/>
      <family val="2"/>
    </font>
  </fonts>
  <fills count="12">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rgb="FFFFFFCC"/>
        <bgColor indexed="64"/>
      </patternFill>
    </fill>
    <fill>
      <patternFill patternType="solid">
        <fgColor rgb="FFFFFF99"/>
        <bgColor indexed="64"/>
      </patternFill>
    </fill>
    <fill>
      <patternFill patternType="solid">
        <fgColor indexed="13"/>
        <bgColor indexed="64"/>
      </patternFill>
    </fill>
    <fill>
      <patternFill patternType="solid">
        <fgColor rgb="FFFFFF00"/>
        <bgColor indexed="64"/>
      </patternFill>
    </fill>
    <fill>
      <patternFill patternType="solid">
        <fgColor rgb="FF66CCFF"/>
        <bgColor indexed="64"/>
      </patternFill>
    </fill>
    <fill>
      <patternFill patternType="solid">
        <fgColor rgb="FFFF00FF"/>
        <bgColor indexed="64"/>
      </patternFill>
    </fill>
    <fill>
      <patternFill patternType="solid">
        <fgColor rgb="FFFFC000"/>
        <bgColor indexed="64"/>
      </patternFill>
    </fill>
    <fill>
      <patternFill patternType="solid">
        <fgColor theme="9" tint="0.39997558519241921"/>
        <bgColor indexed="64"/>
      </patternFill>
    </fill>
  </fills>
  <borders count="59">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64"/>
      </bottom>
      <diagonal/>
    </border>
    <border>
      <left style="medium">
        <color indexed="64"/>
      </left>
      <right style="medium">
        <color indexed="64"/>
      </right>
      <top style="medium">
        <color indexed="64"/>
      </top>
      <bottom style="medium">
        <color indexed="64"/>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right/>
      <top style="dotted">
        <color indexed="64"/>
      </top>
      <bottom style="thin">
        <color indexed="64"/>
      </bottom>
      <diagonal/>
    </border>
    <border>
      <left/>
      <right/>
      <top/>
      <bottom style="dotted">
        <color indexed="64"/>
      </bottom>
      <diagonal/>
    </border>
  </borders>
  <cellStyleXfs count="20">
    <xf numFmtId="164" fontId="0" fillId="0" borderId="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2" fillId="0" borderId="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164" fontId="2" fillId="0" borderId="0" applyProtection="0"/>
    <xf numFmtId="164" fontId="2" fillId="0" borderId="0" applyProtection="0"/>
    <xf numFmtId="0" fontId="7" fillId="0" borderId="0"/>
    <xf numFmtId="0" fontId="7" fillId="0" borderId="0"/>
    <xf numFmtId="0" fontId="7" fillId="0" borderId="0"/>
    <xf numFmtId="164" fontId="2" fillId="0" borderId="0" applyProtection="0"/>
    <xf numFmtId="0" fontId="7"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968">
    <xf numFmtId="164" fontId="0" fillId="0" borderId="0" xfId="0"/>
    <xf numFmtId="0" fontId="3" fillId="2" borderId="0" xfId="5" applyFont="1" applyFill="1"/>
    <xf numFmtId="0" fontId="3" fillId="0" borderId="0" xfId="5" applyFont="1"/>
    <xf numFmtId="0" fontId="3" fillId="0" borderId="0" xfId="5" applyFont="1" applyProtection="1">
      <protection locked="0"/>
    </xf>
    <xf numFmtId="0" fontId="3" fillId="0" borderId="0" xfId="5" applyFont="1" applyAlignment="1" applyProtection="1">
      <alignment horizontal="left"/>
      <protection locked="0"/>
    </xf>
    <xf numFmtId="0" fontId="3" fillId="0" borderId="0" xfId="5" applyFont="1" applyAlignment="1" applyProtection="1">
      <alignment horizontal="right"/>
      <protection locked="0"/>
    </xf>
    <xf numFmtId="0" fontId="2" fillId="0" borderId="0" xfId="5"/>
    <xf numFmtId="0" fontId="3" fillId="0" borderId="0" xfId="5" applyFont="1" applyAlignment="1">
      <alignment horizontal="right"/>
    </xf>
    <xf numFmtId="0" fontId="3" fillId="0" borderId="0" xfId="5" quotePrefix="1" applyFont="1" applyAlignment="1" applyProtection="1">
      <alignment horizontal="left"/>
      <protection locked="0"/>
    </xf>
    <xf numFmtId="3" fontId="3" fillId="0" borderId="0" xfId="5" applyNumberFormat="1" applyFont="1"/>
    <xf numFmtId="0" fontId="3" fillId="3" borderId="0" xfId="5" quotePrefix="1" applyFont="1" applyFill="1" applyAlignment="1" applyProtection="1">
      <alignment horizontal="right"/>
      <protection locked="0"/>
    </xf>
    <xf numFmtId="0" fontId="5" fillId="0" borderId="0" xfId="5" applyFont="1" applyAlignment="1">
      <alignment horizontal="center"/>
    </xf>
    <xf numFmtId="164" fontId="2" fillId="0" borderId="0" xfId="0" applyFont="1"/>
    <xf numFmtId="0" fontId="3" fillId="3" borderId="0" xfId="5" applyFont="1" applyFill="1" applyAlignment="1">
      <alignment horizontal="left"/>
    </xf>
    <xf numFmtId="0" fontId="3" fillId="3" borderId="0" xfId="5" applyFont="1" applyFill="1"/>
    <xf numFmtId="164" fontId="2" fillId="0" borderId="0" xfId="0" applyFont="1" applyAlignment="1">
      <alignment horizontal="center"/>
    </xf>
    <xf numFmtId="0" fontId="5" fillId="0" borderId="0" xfId="5" applyFont="1"/>
    <xf numFmtId="0" fontId="3" fillId="0" borderId="0" xfId="5" applyFont="1" applyAlignment="1">
      <alignment horizontal="left"/>
    </xf>
    <xf numFmtId="0" fontId="3" fillId="0" borderId="0" xfId="5" quotePrefix="1" applyFont="1" applyAlignment="1" applyProtection="1">
      <alignment horizontal="right"/>
      <protection locked="0"/>
    </xf>
    <xf numFmtId="0" fontId="3" fillId="0" borderId="0" xfId="5" applyFont="1" applyAlignment="1" applyProtection="1">
      <alignment horizontal="center"/>
      <protection locked="0"/>
    </xf>
    <xf numFmtId="164" fontId="5" fillId="0" borderId="0" xfId="0" applyFont="1"/>
    <xf numFmtId="0" fontId="6" fillId="0" borderId="0" xfId="5" applyFont="1" applyAlignment="1">
      <alignment horizontal="center"/>
    </xf>
    <xf numFmtId="164" fontId="3" fillId="0" borderId="0" xfId="0" applyFont="1" applyAlignment="1">
      <alignment horizontal="center"/>
    </xf>
    <xf numFmtId="164" fontId="5" fillId="0" borderId="0" xfId="0" applyFont="1" applyAlignment="1">
      <alignment horizontal="center"/>
    </xf>
    <xf numFmtId="164" fontId="3" fillId="0" borderId="0" xfId="0" applyFont="1"/>
    <xf numFmtId="49" fontId="3" fillId="0" borderId="0" xfId="0" applyNumberFormat="1" applyFont="1"/>
    <xf numFmtId="0" fontId="3" fillId="0" borderId="0" xfId="1" applyNumberFormat="1" applyFont="1" applyAlignment="1">
      <alignment horizontal="left"/>
    </xf>
    <xf numFmtId="49" fontId="3" fillId="0" borderId="0" xfId="5" applyNumberFormat="1" applyFont="1"/>
    <xf numFmtId="49" fontId="3" fillId="0" borderId="0" xfId="5" quotePrefix="1" applyNumberFormat="1" applyFont="1" applyAlignment="1">
      <alignment horizontal="center"/>
    </xf>
    <xf numFmtId="0" fontId="3" fillId="0" borderId="1" xfId="5" applyFont="1" applyBorder="1" applyAlignment="1" applyProtection="1">
      <alignment horizontal="center"/>
      <protection locked="0"/>
    </xf>
    <xf numFmtId="42" fontId="3" fillId="0" borderId="0" xfId="5" applyNumberFormat="1" applyFont="1"/>
    <xf numFmtId="165" fontId="3" fillId="0" borderId="0" xfId="1" applyNumberFormat="1" applyFont="1" applyFill="1"/>
    <xf numFmtId="165" fontId="3" fillId="0" borderId="0" xfId="1" applyNumberFormat="1" applyFont="1"/>
    <xf numFmtId="0" fontId="3" fillId="0" borderId="1" xfId="5" applyFont="1" applyBorder="1" applyAlignment="1" applyProtection="1">
      <alignment horizontal="centerContinuous"/>
      <protection locked="0"/>
    </xf>
    <xf numFmtId="43" fontId="3" fillId="0" borderId="0" xfId="1" applyFont="1" applyFill="1" applyAlignment="1"/>
    <xf numFmtId="166" fontId="3" fillId="0" borderId="0" xfId="1" applyNumberFormat="1" applyFont="1" applyAlignment="1"/>
    <xf numFmtId="165" fontId="3" fillId="0" borderId="0" xfId="1" applyNumberFormat="1" applyFont="1" applyAlignment="1"/>
    <xf numFmtId="3" fontId="4" fillId="0" borderId="0" xfId="5" applyNumberFormat="1" applyFont="1" applyAlignment="1">
      <alignment horizontal="right"/>
    </xf>
    <xf numFmtId="0" fontId="8" fillId="0" borderId="0" xfId="5" applyFont="1" applyAlignment="1">
      <alignment horizontal="left"/>
    </xf>
    <xf numFmtId="0" fontId="3" fillId="0" borderId="0" xfId="5" applyFont="1" applyAlignment="1">
      <alignment horizontal="left" wrapText="1"/>
    </xf>
    <xf numFmtId="165" fontId="3" fillId="4" borderId="0" xfId="1" applyNumberFormat="1" applyFont="1" applyFill="1" applyAlignment="1"/>
    <xf numFmtId="167" fontId="3" fillId="0" borderId="0" xfId="5" applyNumberFormat="1" applyFont="1"/>
    <xf numFmtId="42" fontId="3" fillId="0" borderId="2" xfId="5" applyNumberFormat="1" applyFont="1" applyBorder="1" applyAlignment="1" applyProtection="1">
      <alignment horizontal="right"/>
      <protection locked="0"/>
    </xf>
    <xf numFmtId="42" fontId="3" fillId="0" borderId="0" xfId="5" applyNumberFormat="1" applyFont="1" applyAlignment="1" applyProtection="1">
      <alignment horizontal="right"/>
      <protection locked="0"/>
    </xf>
    <xf numFmtId="3" fontId="3" fillId="0" borderId="0" xfId="5" applyNumberFormat="1" applyFont="1" applyAlignment="1">
      <alignment horizontal="fill"/>
    </xf>
    <xf numFmtId="164" fontId="6" fillId="0" borderId="0" xfId="0" applyFont="1" applyAlignment="1">
      <alignment horizontal="center"/>
    </xf>
    <xf numFmtId="3" fontId="9" fillId="0" borderId="0" xfId="5" applyNumberFormat="1" applyFont="1"/>
    <xf numFmtId="3" fontId="5" fillId="0" borderId="0" xfId="5" applyNumberFormat="1" applyFont="1" applyAlignment="1">
      <alignment horizontal="center"/>
    </xf>
    <xf numFmtId="3" fontId="3" fillId="0" borderId="0" xfId="5" applyNumberFormat="1" applyFont="1" applyAlignment="1">
      <alignment horizontal="center"/>
    </xf>
    <xf numFmtId="3" fontId="3" fillId="0" borderId="0" xfId="5" applyNumberFormat="1" applyFont="1" applyAlignment="1">
      <alignment horizontal="right"/>
    </xf>
    <xf numFmtId="0" fontId="3" fillId="0" borderId="0" xfId="5" applyFont="1" applyAlignment="1">
      <alignment horizontal="center"/>
    </xf>
    <xf numFmtId="49" fontId="3" fillId="0" borderId="0" xfId="5" applyNumberFormat="1" applyFont="1" applyAlignment="1">
      <alignment horizontal="center"/>
    </xf>
    <xf numFmtId="3" fontId="5" fillId="0" borderId="0" xfId="5" applyNumberFormat="1" applyFont="1" applyAlignment="1">
      <alignment horizontal="center"/>
    </xf>
    <xf numFmtId="0" fontId="5" fillId="0" borderId="0" xfId="5" applyFont="1" applyAlignment="1" applyProtection="1">
      <alignment horizontal="center"/>
      <protection locked="0"/>
    </xf>
    <xf numFmtId="0" fontId="5" fillId="0" borderId="0" xfId="5" applyFont="1" applyAlignment="1">
      <alignment horizontal="center"/>
    </xf>
    <xf numFmtId="3" fontId="5" fillId="0" borderId="0" xfId="5" applyNumberFormat="1" applyFont="1"/>
    <xf numFmtId="165" fontId="3" fillId="0" borderId="0" xfId="1" applyNumberFormat="1" applyFont="1" applyFill="1" applyAlignment="1"/>
    <xf numFmtId="3" fontId="4" fillId="0" borderId="0" xfId="5" quotePrefix="1" applyNumberFormat="1" applyFont="1" applyAlignment="1">
      <alignment horizontal="right"/>
    </xf>
    <xf numFmtId="0" fontId="4" fillId="0" borderId="0" xfId="5" applyFont="1" applyAlignment="1">
      <alignment horizontal="right"/>
    </xf>
    <xf numFmtId="0" fontId="8" fillId="0" borderId="0" xfId="5" quotePrefix="1" applyFont="1" applyAlignment="1">
      <alignment horizontal="left"/>
    </xf>
    <xf numFmtId="3" fontId="3" fillId="0" borderId="0" xfId="5" applyNumberFormat="1" applyFont="1" applyAlignment="1">
      <alignment horizontal="left" wrapText="1"/>
    </xf>
    <xf numFmtId="166" fontId="3" fillId="0" borderId="0" xfId="1" applyNumberFormat="1" applyFont="1" applyFill="1" applyAlignment="1">
      <alignment horizontal="center"/>
    </xf>
    <xf numFmtId="166" fontId="3" fillId="0" borderId="0" xfId="1" applyNumberFormat="1" applyFont="1" applyAlignment="1">
      <alignment horizontal="center"/>
    </xf>
    <xf numFmtId="168" fontId="3" fillId="0" borderId="0" xfId="5" applyNumberFormat="1" applyFont="1" applyAlignment="1">
      <alignment horizontal="center"/>
    </xf>
    <xf numFmtId="0" fontId="0" fillId="0" borderId="0" xfId="5" applyFont="1"/>
    <xf numFmtId="3" fontId="10" fillId="0" borderId="0" xfId="5" applyNumberFormat="1" applyFont="1"/>
    <xf numFmtId="166" fontId="3" fillId="0" borderId="0" xfId="1" applyNumberFormat="1" applyFont="1" applyFill="1" applyAlignment="1"/>
    <xf numFmtId="165" fontId="3" fillId="0" borderId="0" xfId="1" applyNumberFormat="1" applyFont="1" applyFill="1" applyBorder="1" applyAlignment="1"/>
    <xf numFmtId="166" fontId="3" fillId="0" borderId="0" xfId="1" applyNumberFormat="1" applyFont="1" applyFill="1" applyBorder="1" applyAlignment="1"/>
    <xf numFmtId="0" fontId="3" fillId="0" borderId="3" xfId="5" applyFont="1" applyBorder="1"/>
    <xf numFmtId="3" fontId="3" fillId="0" borderId="3" xfId="5" applyNumberFormat="1" applyFont="1" applyBorder="1"/>
    <xf numFmtId="165" fontId="3" fillId="0" borderId="3" xfId="1" applyNumberFormat="1" applyFont="1" applyFill="1" applyBorder="1" applyAlignment="1"/>
    <xf numFmtId="166" fontId="3" fillId="0" borderId="3" xfId="1" applyNumberFormat="1" applyFont="1" applyBorder="1" applyAlignment="1"/>
    <xf numFmtId="165" fontId="3" fillId="0" borderId="3" xfId="1" applyNumberFormat="1" applyFont="1" applyBorder="1" applyAlignment="1"/>
    <xf numFmtId="0" fontId="3" fillId="0" borderId="0" xfId="5" quotePrefix="1" applyFont="1" applyAlignment="1">
      <alignment horizontal="left"/>
    </xf>
    <xf numFmtId="3" fontId="3" fillId="0" borderId="0" xfId="5" applyNumberFormat="1" applyFont="1" applyAlignment="1">
      <alignment horizontal="center"/>
    </xf>
    <xf numFmtId="166" fontId="3" fillId="0" borderId="3" xfId="1" applyNumberFormat="1" applyFont="1" applyFill="1" applyBorder="1" applyAlignment="1"/>
    <xf numFmtId="165" fontId="3" fillId="0" borderId="1" xfId="1" applyNumberFormat="1" applyFont="1" applyBorder="1" applyAlignment="1"/>
    <xf numFmtId="165" fontId="3" fillId="0" borderId="2" xfId="1" applyNumberFormat="1" applyFont="1" applyBorder="1" applyAlignment="1"/>
    <xf numFmtId="165" fontId="3" fillId="0" borderId="0" xfId="1" applyNumberFormat="1" applyFont="1" applyProtection="1">
      <protection locked="0"/>
    </xf>
    <xf numFmtId="165" fontId="3" fillId="0" borderId="0" xfId="1" applyNumberFormat="1" applyFont="1" applyAlignment="1">
      <alignment horizontal="center"/>
    </xf>
    <xf numFmtId="165" fontId="5" fillId="0" borderId="0" xfId="1" applyNumberFormat="1" applyFont="1" applyAlignment="1" applyProtection="1">
      <alignment horizontal="center"/>
      <protection locked="0"/>
    </xf>
    <xf numFmtId="165" fontId="3" fillId="0" borderId="0" xfId="1" applyNumberFormat="1" applyFont="1" applyAlignment="1" applyProtection="1">
      <alignment horizontal="center"/>
      <protection locked="0"/>
    </xf>
    <xf numFmtId="0" fontId="11" fillId="0" borderId="0" xfId="5" applyFont="1" applyAlignment="1">
      <alignment horizontal="center"/>
    </xf>
    <xf numFmtId="3" fontId="11" fillId="0" borderId="0" xfId="5" applyNumberFormat="1" applyFont="1"/>
    <xf numFmtId="165" fontId="3" fillId="3" borderId="0" xfId="1" applyNumberFormat="1" applyFont="1" applyFill="1" applyAlignment="1"/>
    <xf numFmtId="3" fontId="8" fillId="0" borderId="0" xfId="5" quotePrefix="1" applyNumberFormat="1" applyFont="1" applyAlignment="1">
      <alignment horizontal="left"/>
    </xf>
    <xf numFmtId="165" fontId="3" fillId="5" borderId="0" xfId="1" applyNumberFormat="1" applyFont="1" applyFill="1" applyAlignment="1"/>
    <xf numFmtId="166" fontId="3" fillId="0" borderId="0" xfId="1" applyNumberFormat="1" applyFont="1" applyBorder="1" applyAlignment="1"/>
    <xf numFmtId="3" fontId="2" fillId="0" borderId="0" xfId="5" applyNumberFormat="1"/>
    <xf numFmtId="3" fontId="3" fillId="0" borderId="0" xfId="0" applyNumberFormat="1" applyFont="1"/>
    <xf numFmtId="3" fontId="12" fillId="0" borderId="0" xfId="0" applyNumberFormat="1" applyFont="1"/>
    <xf numFmtId="165" fontId="3" fillId="0" borderId="0" xfId="5" applyNumberFormat="1" applyFont="1"/>
    <xf numFmtId="166" fontId="3" fillId="0" borderId="0" xfId="1" applyNumberFormat="1" applyFont="1" applyFill="1" applyAlignment="1">
      <alignment horizontal="right"/>
    </xf>
    <xf numFmtId="168" fontId="3" fillId="0" borderId="0" xfId="5" applyNumberFormat="1" applyFont="1" applyAlignment="1">
      <alignment horizontal="left"/>
    </xf>
    <xf numFmtId="167" fontId="3" fillId="0" borderId="0" xfId="5" applyNumberFormat="1" applyFont="1" applyAlignment="1">
      <alignment horizontal="center"/>
    </xf>
    <xf numFmtId="10" fontId="3" fillId="0" borderId="0" xfId="5" applyNumberFormat="1" applyFont="1" applyAlignment="1">
      <alignment horizontal="left"/>
    </xf>
    <xf numFmtId="165" fontId="3" fillId="0" borderId="0" xfId="1" applyNumberFormat="1" applyFont="1" applyBorder="1" applyAlignment="1"/>
    <xf numFmtId="0" fontId="3" fillId="0" borderId="4" xfId="5" applyFont="1" applyBorder="1" applyAlignment="1" applyProtection="1">
      <alignment horizontal="center"/>
      <protection locked="0"/>
    </xf>
    <xf numFmtId="0" fontId="3" fillId="0" borderId="4" xfId="5" applyFont="1" applyBorder="1"/>
    <xf numFmtId="168" fontId="3" fillId="0" borderId="4" xfId="5" applyNumberFormat="1" applyFont="1" applyBorder="1" applyAlignment="1" applyProtection="1">
      <alignment horizontal="left"/>
      <protection locked="0"/>
    </xf>
    <xf numFmtId="165" fontId="3" fillId="0" borderId="4" xfId="1" applyNumberFormat="1" applyFont="1" applyFill="1" applyBorder="1" applyAlignment="1">
      <alignment horizontal="right"/>
    </xf>
    <xf numFmtId="3" fontId="3" fillId="0" borderId="4" xfId="5" applyNumberFormat="1" applyFont="1" applyBorder="1"/>
    <xf numFmtId="167" fontId="3" fillId="0" borderId="4" xfId="5" applyNumberFormat="1" applyFont="1" applyBorder="1"/>
    <xf numFmtId="169" fontId="3" fillId="0" borderId="4" xfId="5" applyNumberFormat="1" applyFont="1" applyBorder="1"/>
    <xf numFmtId="0" fontId="2" fillId="0" borderId="4" xfId="5" applyBorder="1"/>
    <xf numFmtId="169" fontId="3" fillId="0" borderId="0" xfId="5" applyNumberFormat="1" applyFont="1"/>
    <xf numFmtId="168" fontId="3" fillId="0" borderId="0" xfId="5" applyNumberFormat="1" applyFont="1" applyAlignment="1" applyProtection="1">
      <alignment horizontal="left"/>
      <protection locked="0"/>
    </xf>
    <xf numFmtId="43" fontId="3" fillId="0" borderId="0" xfId="1" applyFont="1" applyBorder="1" applyAlignment="1"/>
    <xf numFmtId="10" fontId="3" fillId="0" borderId="0" xfId="4" applyNumberFormat="1" applyFont="1" applyBorder="1" applyAlignment="1"/>
    <xf numFmtId="0" fontId="9" fillId="0" borderId="0" xfId="5" applyFont="1"/>
    <xf numFmtId="164" fontId="13" fillId="0" borderId="0" xfId="0" applyFont="1" applyAlignment="1">
      <alignment horizontal="center"/>
    </xf>
    <xf numFmtId="0" fontId="3" fillId="0" borderId="1" xfId="5" applyFont="1" applyBorder="1" applyProtection="1">
      <protection locked="0"/>
    </xf>
    <xf numFmtId="0" fontId="3" fillId="0" borderId="1" xfId="5" applyFont="1" applyBorder="1"/>
    <xf numFmtId="3" fontId="3" fillId="0" borderId="1" xfId="5" applyNumberFormat="1" applyFont="1" applyBorder="1"/>
    <xf numFmtId="43" fontId="3" fillId="0" borderId="1" xfId="1" applyFont="1" applyFill="1" applyBorder="1" applyAlignment="1"/>
    <xf numFmtId="170" fontId="3" fillId="0" borderId="0" xfId="5" applyNumberFormat="1" applyFont="1" applyAlignment="1">
      <alignment horizontal="right"/>
    </xf>
    <xf numFmtId="3" fontId="3" fillId="0" borderId="1" xfId="5" applyNumberFormat="1" applyFont="1" applyBorder="1" applyAlignment="1">
      <alignment horizontal="center"/>
    </xf>
    <xf numFmtId="43" fontId="3" fillId="3" borderId="0" xfId="1" applyFont="1" applyFill="1" applyAlignment="1"/>
    <xf numFmtId="43" fontId="3" fillId="0" borderId="0" xfId="1" applyFont="1" applyAlignment="1"/>
    <xf numFmtId="43" fontId="3" fillId="3" borderId="1" xfId="1" applyFont="1" applyFill="1" applyBorder="1" applyAlignment="1"/>
    <xf numFmtId="4" fontId="3" fillId="0" borderId="0" xfId="5" applyNumberFormat="1" applyFont="1"/>
    <xf numFmtId="43" fontId="3" fillId="0" borderId="1" xfId="1" applyFont="1" applyBorder="1" applyAlignment="1"/>
    <xf numFmtId="3" fontId="4" fillId="0" borderId="0" xfId="5" applyNumberFormat="1" applyFont="1"/>
    <xf numFmtId="43" fontId="3" fillId="0" borderId="0" xfId="1" quotePrefix="1" applyFont="1" applyFill="1" applyAlignment="1">
      <alignment horizontal="right"/>
    </xf>
    <xf numFmtId="9" fontId="3" fillId="5" borderId="0" xfId="1" applyNumberFormat="1" applyFont="1" applyFill="1" applyAlignment="1"/>
    <xf numFmtId="171" fontId="3" fillId="0" borderId="0" xfId="5" applyNumberFormat="1" applyFont="1"/>
    <xf numFmtId="10" fontId="3" fillId="0" borderId="0" xfId="1" applyNumberFormat="1" applyFont="1" applyFill="1" applyAlignment="1"/>
    <xf numFmtId="172" fontId="3" fillId="0" borderId="0" xfId="1" applyNumberFormat="1" applyFont="1" applyAlignment="1"/>
    <xf numFmtId="3" fontId="3" fillId="0" borderId="0" xfId="5" quotePrefix="1" applyNumberFormat="1" applyFont="1"/>
    <xf numFmtId="43" fontId="3" fillId="0" borderId="1" xfId="1" quotePrefix="1" applyFont="1" applyBorder="1" applyAlignment="1">
      <alignment horizontal="right"/>
    </xf>
    <xf numFmtId="10" fontId="3" fillId="0" borderId="0" xfId="4" applyNumberFormat="1" applyFont="1" applyFill="1" applyAlignment="1"/>
    <xf numFmtId="172" fontId="3" fillId="0" borderId="1" xfId="1" applyNumberFormat="1" applyFont="1" applyBorder="1" applyAlignment="1"/>
    <xf numFmtId="164" fontId="3" fillId="0" borderId="0" xfId="5" applyNumberFormat="1" applyFont="1"/>
    <xf numFmtId="0" fontId="3" fillId="0" borderId="0" xfId="5" applyFont="1" applyAlignment="1">
      <alignment horizontal="left" wrapText="1"/>
    </xf>
    <xf numFmtId="49" fontId="3" fillId="0" borderId="0" xfId="5" applyNumberFormat="1" applyFont="1" applyAlignment="1">
      <alignment horizontal="left"/>
    </xf>
    <xf numFmtId="165" fontId="3" fillId="0" borderId="0" xfId="1" applyNumberFormat="1" applyFont="1" applyFill="1" applyAlignment="1">
      <alignment horizontal="center"/>
    </xf>
    <xf numFmtId="49" fontId="3" fillId="0" borderId="0" xfId="1" applyNumberFormat="1" applyFont="1" applyFill="1" applyAlignment="1">
      <alignment horizontal="center"/>
    </xf>
    <xf numFmtId="0" fontId="3" fillId="0" borderId="0" xfId="5" applyFont="1" applyAlignment="1">
      <alignment wrapText="1"/>
    </xf>
    <xf numFmtId="3" fontId="6" fillId="0" borderId="0" xfId="5" applyNumberFormat="1" applyFont="1" applyAlignment="1">
      <alignment horizontal="center"/>
    </xf>
    <xf numFmtId="164" fontId="3" fillId="0" borderId="0" xfId="0" applyFont="1" applyAlignment="1">
      <alignment horizontal="center"/>
    </xf>
    <xf numFmtId="164" fontId="3" fillId="0" borderId="0" xfId="5" applyNumberFormat="1" applyFont="1" applyProtection="1">
      <protection locked="0"/>
    </xf>
    <xf numFmtId="0" fontId="3" fillId="0" borderId="0" xfId="5" applyFont="1" applyProtection="1"/>
    <xf numFmtId="3" fontId="3" fillId="0" borderId="0" xfId="5" applyNumberFormat="1" applyFont="1" applyProtection="1"/>
    <xf numFmtId="173" fontId="3" fillId="0" borderId="0" xfId="5" applyNumberFormat="1" applyFont="1" applyProtection="1">
      <protection locked="0"/>
    </xf>
    <xf numFmtId="0" fontId="3" fillId="0" borderId="0" xfId="5" applyFont="1" applyAlignment="1" applyProtection="1">
      <alignment horizontal="left"/>
      <protection locked="0"/>
    </xf>
    <xf numFmtId="0" fontId="3" fillId="0" borderId="0" xfId="5" applyFont="1" applyAlignment="1" applyProtection="1">
      <alignment horizontal="left" wrapText="1"/>
      <protection locked="0"/>
    </xf>
    <xf numFmtId="49" fontId="3" fillId="0" borderId="0" xfId="0" applyNumberFormat="1" applyFont="1" applyAlignment="1">
      <alignment horizontal="left" wrapText="1"/>
    </xf>
    <xf numFmtId="0" fontId="14" fillId="0" borderId="0" xfId="5" applyFont="1" applyProtection="1">
      <protection locked="0"/>
    </xf>
    <xf numFmtId="168" fontId="3" fillId="3" borderId="0" xfId="1" applyNumberFormat="1" applyFont="1" applyFill="1" applyProtection="1">
      <protection locked="0"/>
    </xf>
    <xf numFmtId="168" fontId="3" fillId="0" borderId="0" xfId="4" applyNumberFormat="1" applyFont="1" applyFill="1" applyProtection="1">
      <protection locked="0"/>
    </xf>
    <xf numFmtId="0" fontId="15" fillId="0" borderId="0" xfId="5" applyFont="1" applyAlignment="1" applyProtection="1">
      <alignment horizontal="left"/>
      <protection locked="0"/>
    </xf>
    <xf numFmtId="164" fontId="3" fillId="0" borderId="0" xfId="0" applyFont="1" applyAlignment="1">
      <alignment horizontal="left" wrapText="1"/>
    </xf>
    <xf numFmtId="0" fontId="3" fillId="0" borderId="0" xfId="5" applyFont="1" applyAlignment="1" applyProtection="1">
      <alignment horizontal="center" vertical="top"/>
      <protection locked="0"/>
    </xf>
    <xf numFmtId="164" fontId="3" fillId="0" borderId="0" xfId="0" applyFont="1" applyAlignment="1">
      <alignment vertical="top" wrapText="1"/>
    </xf>
    <xf numFmtId="164" fontId="3" fillId="0" borderId="0" xfId="0" applyFont="1" applyAlignment="1">
      <alignment vertical="center"/>
    </xf>
    <xf numFmtId="0" fontId="3" fillId="0" borderId="0" xfId="0" applyNumberFormat="1" applyFont="1"/>
    <xf numFmtId="164" fontId="3" fillId="0" borderId="0" xfId="0" applyFont="1" applyAlignment="1">
      <alignment vertical="center" wrapText="1"/>
    </xf>
    <xf numFmtId="0" fontId="16" fillId="0" borderId="0" xfId="0" applyNumberFormat="1" applyFont="1"/>
    <xf numFmtId="0" fontId="17" fillId="0" borderId="0" xfId="0" applyNumberFormat="1" applyFont="1"/>
    <xf numFmtId="0" fontId="3" fillId="0" borderId="0" xfId="0" applyNumberFormat="1" applyFont="1" applyAlignment="1">
      <alignment horizontal="center"/>
    </xf>
    <xf numFmtId="0" fontId="3" fillId="0" borderId="0" xfId="5" applyFont="1" applyAlignment="1">
      <alignment horizontal="center" vertical="center"/>
    </xf>
    <xf numFmtId="164" fontId="3" fillId="0" borderId="0" xfId="0" applyFont="1" applyAlignment="1">
      <alignment horizontal="left" vertical="top" wrapText="1"/>
    </xf>
    <xf numFmtId="0" fontId="18" fillId="0" borderId="0" xfId="5" applyFont="1"/>
    <xf numFmtId="0" fontId="3" fillId="0" borderId="0" xfId="0" applyNumberFormat="1" applyFont="1" applyAlignment="1">
      <alignment horizontal="left"/>
    </xf>
    <xf numFmtId="43" fontId="3" fillId="0" borderId="0" xfId="1" applyFont="1" applyFill="1"/>
    <xf numFmtId="174" fontId="3" fillId="0" borderId="0" xfId="4" applyNumberFormat="1" applyFont="1" applyFill="1"/>
    <xf numFmtId="43" fontId="3" fillId="0" borderId="0" xfId="0" applyNumberFormat="1" applyFont="1"/>
    <xf numFmtId="0" fontId="3" fillId="0" borderId="0" xfId="6" applyFont="1" applyAlignment="1">
      <alignment horizontal="center"/>
    </xf>
    <xf numFmtId="0" fontId="3" fillId="0" borderId="0" xfId="6" applyFont="1"/>
    <xf numFmtId="0" fontId="5" fillId="0" borderId="0" xfId="6" applyFont="1"/>
    <xf numFmtId="164" fontId="0" fillId="0" borderId="0" xfId="0"/>
    <xf numFmtId="0" fontId="6" fillId="0" borderId="0" xfId="6" applyFont="1" applyAlignment="1">
      <alignment horizontal="center"/>
    </xf>
    <xf numFmtId="0" fontId="5" fillId="0" borderId="0" xfId="6" applyFont="1"/>
    <xf numFmtId="165" fontId="3" fillId="0" borderId="0" xfId="7" applyNumberFormat="1" applyFont="1" applyAlignment="1"/>
    <xf numFmtId="165" fontId="3" fillId="0" borderId="0" xfId="7" applyNumberFormat="1" applyFont="1" applyFill="1" applyAlignment="1"/>
    <xf numFmtId="165" fontId="3" fillId="0" borderId="0" xfId="7" applyNumberFormat="1" applyFont="1" applyFill="1" applyBorder="1" applyAlignment="1">
      <alignment wrapText="1"/>
    </xf>
    <xf numFmtId="0" fontId="3" fillId="0" borderId="0" xfId="6" applyFont="1" applyAlignment="1">
      <alignment vertical="top"/>
    </xf>
    <xf numFmtId="165" fontId="3" fillId="3" borderId="0" xfId="7" applyNumberFormat="1" applyFont="1" applyFill="1" applyAlignment="1"/>
    <xf numFmtId="0" fontId="19" fillId="0" borderId="0" xfId="6" applyFont="1"/>
    <xf numFmtId="165" fontId="3" fillId="5" borderId="0" xfId="7" applyNumberFormat="1" applyFont="1" applyFill="1" applyAlignment="1"/>
    <xf numFmtId="165" fontId="3" fillId="0" borderId="0" xfId="7" applyNumberFormat="1" applyFont="1" applyFill="1" applyBorder="1" applyAlignment="1"/>
    <xf numFmtId="165" fontId="3" fillId="0" borderId="0" xfId="7" applyNumberFormat="1" applyFont="1" applyBorder="1" applyAlignment="1"/>
    <xf numFmtId="0" fontId="3" fillId="0" borderId="0" xfId="6" applyFont="1" applyAlignment="1">
      <alignment horizontal="center"/>
    </xf>
    <xf numFmtId="0" fontId="7" fillId="0" borderId="0" xfId="6"/>
    <xf numFmtId="165" fontId="3" fillId="0" borderId="0" xfId="6" applyNumberFormat="1" applyFont="1"/>
    <xf numFmtId="0" fontId="12" fillId="0" borderId="0" xfId="6" applyFont="1"/>
    <xf numFmtId="0" fontId="20" fillId="0" borderId="0" xfId="6" applyFont="1"/>
    <xf numFmtId="0" fontId="3" fillId="0" borderId="0" xfId="6" applyFont="1" applyAlignment="1">
      <alignment horizontal="left" vertical="top" wrapText="1"/>
    </xf>
    <xf numFmtId="165" fontId="3" fillId="0" borderId="0" xfId="7" applyNumberFormat="1" applyFont="1" applyFill="1" applyAlignment="1">
      <alignment vertical="top"/>
    </xf>
    <xf numFmtId="164" fontId="3" fillId="0" borderId="3" xfId="0" applyFont="1" applyBorder="1"/>
    <xf numFmtId="164" fontId="3" fillId="0" borderId="0" xfId="0" applyFont="1" applyAlignment="1">
      <alignment horizontal="centerContinuous"/>
    </xf>
    <xf numFmtId="164" fontId="21" fillId="0" borderId="0" xfId="0" applyFont="1" applyAlignment="1">
      <alignment horizontal="right"/>
    </xf>
    <xf numFmtId="173" fontId="3" fillId="0" borderId="0" xfId="0" applyNumberFormat="1" applyFont="1"/>
    <xf numFmtId="43" fontId="3" fillId="0" borderId="0" xfId="1" applyFont="1"/>
    <xf numFmtId="43" fontId="3" fillId="5" borderId="0" xfId="1" applyFont="1" applyFill="1"/>
    <xf numFmtId="173" fontId="3" fillId="5" borderId="0" xfId="0" applyNumberFormat="1" applyFont="1" applyFill="1"/>
    <xf numFmtId="43" fontId="3" fillId="0" borderId="3" xfId="1" applyFont="1" applyBorder="1"/>
    <xf numFmtId="43" fontId="3" fillId="0" borderId="5" xfId="1" applyFont="1" applyBorder="1"/>
    <xf numFmtId="41" fontId="3" fillId="0" borderId="0" xfId="0" applyNumberFormat="1" applyFont="1"/>
    <xf numFmtId="41" fontId="3" fillId="5" borderId="0" xfId="0" applyNumberFormat="1" applyFont="1" applyFill="1"/>
    <xf numFmtId="41" fontId="3" fillId="0" borderId="3" xfId="0" applyNumberFormat="1" applyFont="1" applyBorder="1"/>
    <xf numFmtId="173" fontId="5" fillId="0" borderId="0" xfId="0" applyNumberFormat="1" applyFont="1"/>
    <xf numFmtId="41" fontId="3" fillId="0" borderId="0" xfId="6" applyNumberFormat="1" applyFont="1"/>
    <xf numFmtId="165" fontId="3" fillId="0" borderId="0" xfId="7" applyNumberFormat="1" applyFont="1" applyFill="1" applyAlignment="1">
      <alignment horizontal="right"/>
    </xf>
    <xf numFmtId="0" fontId="3" fillId="5" borderId="0" xfId="6" applyFont="1" applyFill="1"/>
    <xf numFmtId="165" fontId="3" fillId="0" borderId="0" xfId="7" applyNumberFormat="1" applyFont="1" applyFill="1"/>
    <xf numFmtId="10" fontId="3" fillId="0" borderId="0" xfId="6" applyNumberFormat="1" applyFont="1"/>
    <xf numFmtId="0" fontId="22" fillId="0" borderId="0" xfId="6" applyFont="1"/>
    <xf numFmtId="0" fontId="6" fillId="0" borderId="0" xfId="6" applyFont="1" applyAlignment="1">
      <alignment horizontal="center"/>
    </xf>
    <xf numFmtId="0" fontId="5" fillId="0" borderId="0" xfId="6" applyFont="1" applyAlignment="1">
      <alignment horizontal="center"/>
    </xf>
    <xf numFmtId="0" fontId="3" fillId="0" borderId="0" xfId="6" applyFont="1"/>
    <xf numFmtId="0" fontId="23" fillId="0" borderId="0" xfId="6" applyFont="1" applyAlignment="1">
      <alignment horizontal="left"/>
    </xf>
    <xf numFmtId="0" fontId="12" fillId="6" borderId="6" xfId="6" applyFont="1" applyFill="1" applyBorder="1" applyAlignment="1">
      <alignment horizontal="center"/>
    </xf>
    <xf numFmtId="0" fontId="12" fillId="6" borderId="7" xfId="6" applyFont="1" applyFill="1" applyBorder="1" applyAlignment="1">
      <alignment horizontal="center"/>
    </xf>
    <xf numFmtId="0" fontId="12" fillId="6" borderId="8" xfId="6" applyFont="1" applyFill="1" applyBorder="1" applyAlignment="1">
      <alignment horizontal="center"/>
    </xf>
    <xf numFmtId="0" fontId="20" fillId="6" borderId="0" xfId="6" applyFont="1" applyFill="1" applyAlignment="1">
      <alignment horizontal="center" wrapText="1"/>
    </xf>
    <xf numFmtId="0" fontId="20" fillId="6" borderId="0" xfId="6" applyFont="1" applyFill="1" applyAlignment="1">
      <alignment horizontal="center" wrapText="1"/>
    </xf>
    <xf numFmtId="0" fontId="7" fillId="0" borderId="0" xfId="6" applyAlignment="1">
      <alignment horizontal="center" wrapText="1"/>
    </xf>
    <xf numFmtId="0" fontId="3" fillId="0" borderId="9" xfId="6" applyFont="1" applyBorder="1" applyAlignment="1">
      <alignment horizontal="center"/>
    </xf>
    <xf numFmtId="0" fontId="11" fillId="0" borderId="0" xfId="6" applyFont="1" applyAlignment="1">
      <alignment horizontal="left"/>
    </xf>
    <xf numFmtId="0" fontId="3" fillId="0" borderId="10" xfId="6" applyFont="1" applyBorder="1" applyAlignment="1">
      <alignment horizontal="right"/>
    </xf>
    <xf numFmtId="0" fontId="24" fillId="0" borderId="0" xfId="6" applyFont="1"/>
    <xf numFmtId="0" fontId="7" fillId="0" borderId="0" xfId="6" applyAlignment="1">
      <alignment horizontal="center" wrapText="1"/>
    </xf>
    <xf numFmtId="3" fontId="3" fillId="0" borderId="0" xfId="6" applyNumberFormat="1" applyFont="1"/>
    <xf numFmtId="0" fontId="10" fillId="3" borderId="0" xfId="1" applyNumberFormat="1" applyFont="1" applyFill="1" applyBorder="1" applyAlignment="1">
      <alignment horizontal="center"/>
    </xf>
    <xf numFmtId="165" fontId="3" fillId="3" borderId="10" xfId="7" applyNumberFormat="1" applyFont="1" applyFill="1" applyBorder="1" applyAlignment="1">
      <alignment horizontal="right"/>
    </xf>
    <xf numFmtId="3" fontId="7" fillId="0" borderId="0" xfId="6" applyNumberFormat="1" applyAlignment="1">
      <alignment horizontal="right"/>
    </xf>
    <xf numFmtId="0" fontId="7" fillId="0" borderId="0" xfId="6" applyAlignment="1">
      <alignment horizontal="center"/>
    </xf>
    <xf numFmtId="3" fontId="7" fillId="0" borderId="0" xfId="6" applyNumberFormat="1" applyAlignment="1">
      <alignment horizontal="center"/>
    </xf>
    <xf numFmtId="0" fontId="3" fillId="0" borderId="0" xfId="6" applyFont="1" applyAlignment="1">
      <alignment horizontal="left"/>
    </xf>
    <xf numFmtId="0" fontId="7" fillId="0" borderId="0" xfId="6" applyAlignment="1">
      <alignment horizontal="right"/>
    </xf>
    <xf numFmtId="0" fontId="3" fillId="0" borderId="3" xfId="6" applyFont="1" applyBorder="1" applyAlignment="1">
      <alignment horizontal="left"/>
    </xf>
    <xf numFmtId="3" fontId="3" fillId="0" borderId="3" xfId="6" applyNumberFormat="1" applyFont="1" applyBorder="1"/>
    <xf numFmtId="0" fontId="10" fillId="3" borderId="3" xfId="1" applyNumberFormat="1" applyFont="1" applyFill="1" applyBorder="1" applyAlignment="1">
      <alignment horizontal="center"/>
    </xf>
    <xf numFmtId="165" fontId="3" fillId="3" borderId="11" xfId="7" applyNumberFormat="1" applyFont="1" applyFill="1" applyBorder="1" applyAlignment="1">
      <alignment horizontal="right"/>
    </xf>
    <xf numFmtId="165" fontId="7" fillId="0" borderId="0" xfId="6" applyNumberFormat="1"/>
    <xf numFmtId="0" fontId="5" fillId="0" borderId="0" xfId="6" applyFont="1" applyAlignment="1">
      <alignment horizontal="left"/>
    </xf>
    <xf numFmtId="3" fontId="10" fillId="0" borderId="0" xfId="6" applyNumberFormat="1" applyFont="1" applyAlignment="1">
      <alignment horizontal="center"/>
    </xf>
    <xf numFmtId="165" fontId="3" fillId="0" borderId="10" xfId="7" applyNumberFormat="1" applyFont="1" applyFill="1" applyBorder="1" applyAlignment="1">
      <alignment horizontal="right"/>
    </xf>
    <xf numFmtId="165" fontId="7" fillId="0" borderId="0" xfId="6" applyNumberFormat="1" applyAlignment="1">
      <alignment horizontal="right"/>
    </xf>
    <xf numFmtId="165" fontId="10" fillId="0" borderId="0" xfId="1" applyNumberFormat="1" applyFont="1" applyFill="1" applyBorder="1" applyAlignment="1">
      <alignment horizontal="center"/>
    </xf>
    <xf numFmtId="0" fontId="3" fillId="0" borderId="10" xfId="6" applyFont="1" applyBorder="1" applyAlignment="1">
      <alignment horizontal="left"/>
    </xf>
    <xf numFmtId="165" fontId="3" fillId="0" borderId="0" xfId="1" applyNumberFormat="1" applyFont="1" applyBorder="1" applyAlignment="1">
      <alignment horizontal="center"/>
    </xf>
    <xf numFmtId="0" fontId="3" fillId="0" borderId="10" xfId="6" applyFont="1" applyBorder="1"/>
    <xf numFmtId="165" fontId="7" fillId="0" borderId="0" xfId="7" applyNumberFormat="1" applyFont="1" applyBorder="1" applyAlignment="1"/>
    <xf numFmtId="165" fontId="10" fillId="0" borderId="0" xfId="1" applyNumberFormat="1" applyFont="1" applyBorder="1" applyAlignment="1">
      <alignment horizontal="center"/>
    </xf>
    <xf numFmtId="0" fontId="10" fillId="0" borderId="0" xfId="6" applyFont="1" applyAlignment="1">
      <alignment horizontal="center"/>
    </xf>
    <xf numFmtId="165" fontId="3" fillId="0" borderId="10" xfId="7" applyNumberFormat="1" applyFont="1" applyBorder="1" applyAlignment="1">
      <alignment horizontal="right"/>
    </xf>
    <xf numFmtId="165" fontId="7" fillId="0" borderId="0" xfId="7" applyNumberFormat="1" applyFont="1" applyFill="1" applyBorder="1" applyAlignment="1">
      <alignment horizontal="right"/>
    </xf>
    <xf numFmtId="0" fontId="3" fillId="0" borderId="12" xfId="6" applyFont="1" applyBorder="1" applyAlignment="1">
      <alignment horizontal="center"/>
    </xf>
    <xf numFmtId="0" fontId="3" fillId="0" borderId="1" xfId="6" applyFont="1" applyBorder="1" applyAlignment="1">
      <alignment horizontal="center"/>
    </xf>
    <xf numFmtId="0" fontId="3" fillId="0" borderId="1" xfId="6" applyFont="1" applyBorder="1" applyAlignment="1">
      <alignment horizontal="left"/>
    </xf>
    <xf numFmtId="0" fontId="3" fillId="0" borderId="1" xfId="6" applyFont="1" applyBorder="1"/>
    <xf numFmtId="0" fontId="10" fillId="0" borderId="1" xfId="6" applyFont="1" applyBorder="1" applyAlignment="1">
      <alignment horizontal="center"/>
    </xf>
    <xf numFmtId="0" fontId="3" fillId="0" borderId="13" xfId="6" applyFont="1" applyBorder="1" applyAlignment="1">
      <alignment horizontal="left"/>
    </xf>
    <xf numFmtId="0" fontId="23" fillId="0" borderId="9" xfId="6" applyFont="1" applyBorder="1" applyAlignment="1">
      <alignment horizontal="left"/>
    </xf>
    <xf numFmtId="3" fontId="3" fillId="0" borderId="10" xfId="6" applyNumberFormat="1" applyFont="1" applyBorder="1" applyAlignment="1">
      <alignment horizontal="left"/>
    </xf>
    <xf numFmtId="0" fontId="25" fillId="0" borderId="0" xfId="6" applyFont="1"/>
    <xf numFmtId="10" fontId="7" fillId="0" borderId="0" xfId="6" applyNumberFormat="1"/>
    <xf numFmtId="165" fontId="3" fillId="0" borderId="0" xfId="7" applyNumberFormat="1" applyFont="1" applyFill="1" applyBorder="1" applyAlignment="1">
      <alignment horizontal="right"/>
    </xf>
    <xf numFmtId="0" fontId="3" fillId="0" borderId="0" xfId="6" applyFont="1" applyAlignment="1">
      <alignment horizontal="center" wrapText="1"/>
    </xf>
    <xf numFmtId="0" fontId="23" fillId="6" borderId="14" xfId="6" applyFont="1" applyFill="1" applyBorder="1" applyAlignment="1">
      <alignment horizontal="center"/>
    </xf>
    <xf numFmtId="0" fontId="23" fillId="6" borderId="15" xfId="6" applyFont="1" applyFill="1" applyBorder="1" applyAlignment="1">
      <alignment horizontal="center"/>
    </xf>
    <xf numFmtId="0" fontId="23" fillId="6" borderId="16" xfId="6" applyFont="1" applyFill="1" applyBorder="1" applyAlignment="1">
      <alignment horizontal="center"/>
    </xf>
    <xf numFmtId="0" fontId="23" fillId="6" borderId="15" xfId="6" applyFont="1" applyFill="1" applyBorder="1" applyAlignment="1">
      <alignment horizontal="center" wrapText="1"/>
    </xf>
    <xf numFmtId="0" fontId="23" fillId="6" borderId="15" xfId="6" applyFont="1" applyFill="1" applyBorder="1" applyAlignment="1">
      <alignment horizontal="center" wrapText="1"/>
    </xf>
    <xf numFmtId="0" fontId="3" fillId="0" borderId="15" xfId="6" applyFont="1" applyBorder="1" applyAlignment="1">
      <alignment horizontal="center" wrapText="1"/>
    </xf>
    <xf numFmtId="0" fontId="3" fillId="0" borderId="16" xfId="6" applyFont="1" applyBorder="1" applyAlignment="1">
      <alignment horizontal="center" wrapText="1"/>
    </xf>
    <xf numFmtId="0" fontId="3" fillId="0" borderId="6" xfId="6" applyFont="1" applyBorder="1" applyAlignment="1">
      <alignment horizontal="center"/>
    </xf>
    <xf numFmtId="0" fontId="3" fillId="0" borderId="7" xfId="6" applyFont="1" applyBorder="1" applyAlignment="1">
      <alignment horizontal="center"/>
    </xf>
    <xf numFmtId="0" fontId="5" fillId="0" borderId="7" xfId="6" applyFont="1" applyBorder="1" applyAlignment="1">
      <alignment horizontal="left"/>
    </xf>
    <xf numFmtId="0" fontId="10" fillId="0" borderId="7" xfId="6" applyFont="1" applyBorder="1"/>
    <xf numFmtId="165" fontId="3" fillId="0" borderId="6" xfId="7" applyNumberFormat="1" applyFont="1" applyFill="1" applyBorder="1"/>
    <xf numFmtId="165" fontId="3" fillId="0" borderId="7" xfId="7" applyNumberFormat="1" applyFont="1" applyFill="1" applyBorder="1" applyAlignment="1">
      <alignment horizontal="center"/>
    </xf>
    <xf numFmtId="165" fontId="5" fillId="0" borderId="7" xfId="7" applyNumberFormat="1" applyFont="1" applyFill="1" applyBorder="1"/>
    <xf numFmtId="0" fontId="23" fillId="0" borderId="7" xfId="6" applyFont="1" applyBorder="1" applyAlignment="1">
      <alignment horizontal="center" wrapText="1"/>
    </xf>
    <xf numFmtId="0" fontId="3" fillId="0" borderId="7" xfId="6" applyFont="1" applyBorder="1" applyAlignment="1">
      <alignment horizontal="center" wrapText="1"/>
    </xf>
    <xf numFmtId="0" fontId="3" fillId="0" borderId="8" xfId="6" applyFont="1" applyBorder="1" applyAlignment="1">
      <alignment horizontal="center" wrapText="1"/>
    </xf>
    <xf numFmtId="0" fontId="3" fillId="0" borderId="9" xfId="5" applyFont="1" applyBorder="1" applyAlignment="1" applyProtection="1">
      <alignment horizontal="center"/>
      <protection locked="0"/>
    </xf>
    <xf numFmtId="165" fontId="3" fillId="3" borderId="0" xfId="7" applyNumberFormat="1" applyFont="1" applyFill="1" applyBorder="1" applyAlignment="1">
      <alignment horizontal="right"/>
    </xf>
    <xf numFmtId="165" fontId="3" fillId="0" borderId="9" xfId="1" applyNumberFormat="1" applyFont="1" applyFill="1" applyBorder="1" applyAlignment="1"/>
    <xf numFmtId="170" fontId="3" fillId="0" borderId="0" xfId="5" applyNumberFormat="1" applyFont="1"/>
    <xf numFmtId="0" fontId="10" fillId="0" borderId="10" xfId="5" applyFont="1" applyBorder="1"/>
    <xf numFmtId="43" fontId="3" fillId="3" borderId="0" xfId="1" applyFont="1" applyFill="1" applyBorder="1" applyAlignment="1">
      <alignment horizontal="right"/>
    </xf>
    <xf numFmtId="43" fontId="3" fillId="0" borderId="9" xfId="1" applyFont="1" applyFill="1" applyBorder="1" applyAlignment="1"/>
    <xf numFmtId="43" fontId="3" fillId="5" borderId="0" xfId="1" applyFont="1" applyFill="1" applyBorder="1" applyAlignment="1"/>
    <xf numFmtId="0" fontId="3" fillId="0" borderId="0" xfId="6" applyFont="1" applyAlignment="1">
      <alignment horizontal="right"/>
    </xf>
    <xf numFmtId="3" fontId="3" fillId="0" borderId="9" xfId="5" applyNumberFormat="1" applyFont="1" applyBorder="1"/>
    <xf numFmtId="165" fontId="3" fillId="3" borderId="10" xfId="7" applyNumberFormat="1" applyFont="1" applyFill="1" applyBorder="1" applyAlignment="1"/>
    <xf numFmtId="165" fontId="3" fillId="3" borderId="11" xfId="7" applyNumberFormat="1" applyFont="1" applyFill="1" applyBorder="1" applyAlignment="1"/>
    <xf numFmtId="0" fontId="10" fillId="0" borderId="0" xfId="6" applyFont="1"/>
    <xf numFmtId="165" fontId="3" fillId="0" borderId="9" xfId="7" applyNumberFormat="1" applyFont="1" applyFill="1" applyBorder="1"/>
    <xf numFmtId="165" fontId="3" fillId="0" borderId="0" xfId="7" applyNumberFormat="1" applyFont="1" applyFill="1" applyBorder="1" applyAlignment="1">
      <alignment horizontal="center"/>
    </xf>
    <xf numFmtId="165" fontId="5" fillId="0" borderId="0" xfId="7" applyNumberFormat="1" applyFont="1" applyFill="1" applyBorder="1"/>
    <xf numFmtId="0" fontId="23" fillId="0" borderId="0" xfId="6" applyFont="1" applyAlignment="1">
      <alignment horizontal="center" wrapText="1"/>
    </xf>
    <xf numFmtId="0" fontId="3" fillId="0" borderId="10" xfId="6" applyFont="1" applyBorder="1" applyAlignment="1">
      <alignment horizontal="center" wrapText="1"/>
    </xf>
    <xf numFmtId="0" fontId="11" fillId="0" borderId="7" xfId="6" applyFont="1" applyBorder="1" applyAlignment="1">
      <alignment horizontal="left"/>
    </xf>
    <xf numFmtId="0" fontId="3" fillId="0" borderId="7" xfId="6" applyFont="1" applyBorder="1"/>
    <xf numFmtId="0" fontId="3" fillId="0" borderId="7" xfId="6" applyFont="1" applyBorder="1" applyAlignment="1">
      <alignment horizontal="right"/>
    </xf>
    <xf numFmtId="165" fontId="3" fillId="0" borderId="6" xfId="0" applyNumberFormat="1" applyFont="1" applyBorder="1" applyAlignment="1" applyProtection="1">
      <alignment horizontal="center" wrapText="1"/>
    </xf>
    <xf numFmtId="165" fontId="3" fillId="0" borderId="7" xfId="0" applyNumberFormat="1" applyFont="1" applyBorder="1" applyAlignment="1" applyProtection="1">
      <alignment horizontal="center" wrapText="1"/>
    </xf>
    <xf numFmtId="0" fontId="5" fillId="0" borderId="7" xfId="6" applyFont="1" applyBorder="1" applyAlignment="1">
      <alignment horizontal="center" wrapText="1"/>
    </xf>
    <xf numFmtId="175" fontId="10" fillId="3" borderId="0" xfId="1" applyNumberFormat="1" applyFont="1" applyFill="1" applyBorder="1" applyAlignment="1">
      <alignment horizontal="center"/>
    </xf>
    <xf numFmtId="165" fontId="3" fillId="3" borderId="0" xfId="7" applyNumberFormat="1" applyFont="1" applyFill="1" applyBorder="1" applyAlignment="1"/>
    <xf numFmtId="165" fontId="3" fillId="3" borderId="9" xfId="7" applyNumberFormat="1" applyFont="1" applyFill="1" applyBorder="1" applyAlignment="1"/>
    <xf numFmtId="41" fontId="26" fillId="0" borderId="0" xfId="0" applyNumberFormat="1" applyFont="1"/>
    <xf numFmtId="165" fontId="7" fillId="3" borderId="10" xfId="7" applyNumberFormat="1" applyFont="1" applyFill="1" applyBorder="1" applyAlignment="1"/>
    <xf numFmtId="165" fontId="7" fillId="3" borderId="9" xfId="7" applyNumberFormat="1" applyFont="1" applyFill="1" applyBorder="1" applyAlignment="1"/>
    <xf numFmtId="175" fontId="10" fillId="3" borderId="3" xfId="1" applyNumberFormat="1" applyFont="1" applyFill="1" applyBorder="1" applyAlignment="1">
      <alignment horizontal="center"/>
    </xf>
    <xf numFmtId="165" fontId="7" fillId="3" borderId="11" xfId="7" applyNumberFormat="1" applyFont="1" applyFill="1" applyBorder="1" applyAlignment="1"/>
    <xf numFmtId="165" fontId="7" fillId="3" borderId="17" xfId="7" applyNumberFormat="1" applyFont="1" applyFill="1" applyBorder="1" applyAlignment="1"/>
    <xf numFmtId="165" fontId="3" fillId="3" borderId="3" xfId="7" applyNumberFormat="1" applyFont="1" applyFill="1" applyBorder="1" applyAlignment="1"/>
    <xf numFmtId="165" fontId="3" fillId="0" borderId="9" xfId="7" applyNumberFormat="1" applyFont="1" applyFill="1" applyBorder="1" applyAlignment="1">
      <alignment horizontal="right"/>
    </xf>
    <xf numFmtId="164" fontId="3" fillId="0" borderId="1" xfId="0" applyFont="1" applyBorder="1"/>
    <xf numFmtId="0" fontId="10" fillId="0" borderId="1" xfId="6" applyFont="1" applyBorder="1"/>
    <xf numFmtId="165" fontId="3" fillId="0" borderId="12" xfId="7" applyNumberFormat="1" applyFont="1" applyFill="1" applyBorder="1"/>
    <xf numFmtId="165" fontId="3" fillId="0" borderId="1" xfId="7" applyNumberFormat="1" applyFont="1" applyFill="1" applyBorder="1" applyAlignment="1">
      <alignment horizontal="center"/>
    </xf>
    <xf numFmtId="165" fontId="5" fillId="0" borderId="1" xfId="7" applyNumberFormat="1" applyFont="1" applyFill="1" applyBorder="1"/>
    <xf numFmtId="0" fontId="23" fillId="0" borderId="1" xfId="6" applyFont="1" applyBorder="1" applyAlignment="1">
      <alignment horizontal="center" wrapText="1"/>
    </xf>
    <xf numFmtId="0" fontId="3" fillId="0" borderId="1" xfId="6" applyFont="1" applyBorder="1" applyAlignment="1">
      <alignment horizontal="center" wrapText="1"/>
    </xf>
    <xf numFmtId="0" fontId="3" fillId="0" borderId="13" xfId="6" applyFont="1" applyBorder="1" applyAlignment="1">
      <alignment horizontal="center" wrapText="1"/>
    </xf>
    <xf numFmtId="165" fontId="3" fillId="0" borderId="0" xfId="7" applyNumberFormat="1" applyFont="1" applyFill="1" applyBorder="1"/>
    <xf numFmtId="0" fontId="3" fillId="0" borderId="13" xfId="6" applyFont="1" applyBorder="1" applyAlignment="1">
      <alignment horizontal="left" wrapText="1"/>
    </xf>
    <xf numFmtId="165" fontId="3" fillId="0" borderId="1" xfId="7" applyNumberFormat="1" applyFont="1" applyFill="1" applyBorder="1"/>
    <xf numFmtId="0" fontId="3" fillId="0" borderId="1" xfId="6" applyFont="1" applyBorder="1" applyAlignment="1">
      <alignment horizontal="center" wrapText="1"/>
    </xf>
    <xf numFmtId="0" fontId="3" fillId="0" borderId="13" xfId="6" applyFont="1" applyBorder="1" applyAlignment="1">
      <alignment horizontal="center" wrapText="1"/>
    </xf>
    <xf numFmtId="0" fontId="23" fillId="6" borderId="6" xfId="6" applyFont="1" applyFill="1" applyBorder="1" applyAlignment="1">
      <alignment horizontal="center"/>
    </xf>
    <xf numFmtId="0" fontId="23" fillId="6" borderId="7" xfId="6" applyFont="1" applyFill="1" applyBorder="1" applyAlignment="1">
      <alignment horizontal="center"/>
    </xf>
    <xf numFmtId="0" fontId="23" fillId="6" borderId="6" xfId="6" applyFont="1" applyFill="1" applyBorder="1" applyAlignment="1">
      <alignment horizontal="center" wrapText="1"/>
    </xf>
    <xf numFmtId="0" fontId="23" fillId="6" borderId="7" xfId="6" applyFont="1" applyFill="1" applyBorder="1" applyAlignment="1">
      <alignment horizontal="center" wrapText="1"/>
    </xf>
    <xf numFmtId="0" fontId="23" fillId="6" borderId="7" xfId="6" applyFont="1" applyFill="1" applyBorder="1" applyAlignment="1">
      <alignment horizontal="center" wrapText="1"/>
    </xf>
    <xf numFmtId="0" fontId="3" fillId="0" borderId="7" xfId="6" applyFont="1" applyBorder="1" applyAlignment="1">
      <alignment horizontal="center" wrapText="1"/>
    </xf>
    <xf numFmtId="0" fontId="3" fillId="0" borderId="8" xfId="6" applyFont="1" applyBorder="1" applyAlignment="1">
      <alignment horizontal="center" wrapText="1"/>
    </xf>
    <xf numFmtId="43" fontId="3" fillId="0" borderId="9" xfId="1" applyFont="1" applyFill="1" applyBorder="1"/>
    <xf numFmtId="0" fontId="23" fillId="0" borderId="0" xfId="6" applyFont="1" applyAlignment="1">
      <alignment horizontal="center"/>
    </xf>
    <xf numFmtId="0" fontId="3" fillId="0" borderId="9" xfId="6" applyFont="1" applyBorder="1"/>
    <xf numFmtId="0" fontId="3" fillId="0" borderId="1" xfId="6" applyFont="1" applyBorder="1" applyAlignment="1">
      <alignment horizontal="left" wrapText="1"/>
    </xf>
    <xf numFmtId="165" fontId="3" fillId="0" borderId="12" xfId="7" applyNumberFormat="1" applyFont="1" applyFill="1" applyBorder="1" applyAlignment="1">
      <alignment horizontal="left"/>
    </xf>
    <xf numFmtId="165" fontId="3" fillId="0" borderId="1" xfId="7" applyNumberFormat="1" applyFont="1" applyFill="1" applyBorder="1" applyAlignment="1">
      <alignment horizontal="left"/>
    </xf>
    <xf numFmtId="165" fontId="3" fillId="0" borderId="13" xfId="7" applyNumberFormat="1" applyFont="1" applyFill="1" applyBorder="1" applyAlignment="1">
      <alignment horizontal="left"/>
    </xf>
    <xf numFmtId="3" fontId="3" fillId="0" borderId="0" xfId="6" applyNumberFormat="1" applyFont="1" applyAlignment="1">
      <alignment horizontal="center"/>
    </xf>
    <xf numFmtId="0" fontId="3" fillId="6" borderId="7" xfId="6" applyFont="1" applyFill="1" applyBorder="1" applyAlignment="1">
      <alignment horizontal="center" wrapText="1"/>
    </xf>
    <xf numFmtId="0" fontId="3" fillId="6" borderId="8" xfId="6" applyFont="1" applyFill="1" applyBorder="1" applyAlignment="1">
      <alignment horizontal="center" wrapText="1"/>
    </xf>
    <xf numFmtId="49" fontId="3" fillId="0" borderId="0" xfId="6" applyNumberFormat="1" applyFont="1"/>
    <xf numFmtId="3" fontId="3" fillId="0" borderId="0" xfId="6" applyNumberFormat="1" applyFont="1" applyAlignment="1">
      <alignment horizontal="center" wrapText="1"/>
    </xf>
    <xf numFmtId="0" fontId="5" fillId="0" borderId="0" xfId="6" applyFont="1" applyAlignment="1">
      <alignment horizontal="center" wrapText="1"/>
    </xf>
    <xf numFmtId="0" fontId="3" fillId="0" borderId="0" xfId="6" applyFont="1" applyAlignment="1">
      <alignment horizontal="center" wrapText="1"/>
    </xf>
    <xf numFmtId="0" fontId="3" fillId="0" borderId="10" xfId="6" applyFont="1" applyBorder="1" applyAlignment="1">
      <alignment horizontal="center" wrapText="1"/>
    </xf>
    <xf numFmtId="0" fontId="27" fillId="0" borderId="0" xfId="0" applyNumberFormat="1" applyFont="1" applyAlignment="1">
      <alignment horizontal="center"/>
    </xf>
    <xf numFmtId="164" fontId="27" fillId="0" borderId="0" xfId="0" applyFont="1" applyAlignment="1">
      <alignment horizontal="left"/>
    </xf>
    <xf numFmtId="44" fontId="27" fillId="0" borderId="0" xfId="0" applyNumberFormat="1" applyFont="1"/>
    <xf numFmtId="164" fontId="27" fillId="0" borderId="0" xfId="0" applyFont="1"/>
    <xf numFmtId="164" fontId="3" fillId="0" borderId="10" xfId="0" applyFont="1" applyBorder="1"/>
    <xf numFmtId="164" fontId="27" fillId="0" borderId="0" xfId="0" applyFont="1" applyAlignment="1">
      <alignment horizontal="center"/>
    </xf>
    <xf numFmtId="0" fontId="27" fillId="0" borderId="0" xfId="6" applyFont="1"/>
    <xf numFmtId="0" fontId="27" fillId="0" borderId="0" xfId="6" applyFont="1" applyAlignment="1">
      <alignment horizontal="center" wrapText="1"/>
    </xf>
    <xf numFmtId="3" fontId="27" fillId="0" borderId="0" xfId="6" applyNumberFormat="1" applyFont="1" applyAlignment="1">
      <alignment horizontal="center" wrapText="1"/>
    </xf>
    <xf numFmtId="0" fontId="27" fillId="5" borderId="0" xfId="6" applyFont="1" applyFill="1"/>
    <xf numFmtId="165" fontId="27" fillId="0" borderId="0" xfId="1" applyNumberFormat="1" applyFont="1" applyFill="1" applyBorder="1" applyAlignment="1">
      <alignment horizontal="center" wrapText="1"/>
    </xf>
    <xf numFmtId="165" fontId="27" fillId="0" borderId="0" xfId="1" applyNumberFormat="1" applyFont="1" applyFill="1" applyBorder="1" applyAlignment="1">
      <alignment horizontal="center"/>
    </xf>
    <xf numFmtId="164" fontId="28" fillId="0" borderId="0" xfId="0" applyFont="1"/>
    <xf numFmtId="165" fontId="27" fillId="0" borderId="0" xfId="1" applyNumberFormat="1" applyFont="1" applyFill="1" applyBorder="1"/>
    <xf numFmtId="0" fontId="27" fillId="5" borderId="3" xfId="6" applyFont="1" applyFill="1" applyBorder="1"/>
    <xf numFmtId="165" fontId="27" fillId="0" borderId="3" xfId="1" applyNumberFormat="1" applyFont="1" applyFill="1" applyBorder="1" applyAlignment="1">
      <alignment horizontal="center" wrapText="1"/>
    </xf>
    <xf numFmtId="0" fontId="27" fillId="0" borderId="0" xfId="6" applyFont="1" applyAlignment="1">
      <alignment horizontal="left"/>
    </xf>
    <xf numFmtId="0" fontId="29" fillId="0" borderId="0" xfId="0" applyNumberFormat="1" applyFont="1" applyAlignment="1">
      <alignment horizontal="center"/>
    </xf>
    <xf numFmtId="164" fontId="29" fillId="0" borderId="0" xfId="0" applyFont="1" applyAlignment="1">
      <alignment horizontal="center"/>
    </xf>
    <xf numFmtId="44" fontId="29" fillId="0" borderId="0" xfId="0" applyNumberFormat="1" applyFont="1"/>
    <xf numFmtId="165" fontId="3" fillId="0" borderId="0" xfId="1" applyNumberFormat="1" applyFont="1" applyFill="1" applyBorder="1" applyAlignment="1">
      <alignment horizontal="center"/>
    </xf>
    <xf numFmtId="165" fontId="3" fillId="0" borderId="0" xfId="1" applyNumberFormat="1" applyFont="1" applyFill="1" applyBorder="1" applyAlignment="1">
      <alignment horizontal="center" wrapText="1"/>
    </xf>
    <xf numFmtId="43" fontId="3" fillId="0" borderId="0" xfId="6" applyNumberFormat="1" applyFont="1" applyAlignment="1">
      <alignment horizontal="center"/>
    </xf>
    <xf numFmtId="0" fontId="23" fillId="0" borderId="6" xfId="6" applyFont="1" applyBorder="1" applyAlignment="1">
      <alignment horizontal="left"/>
    </xf>
    <xf numFmtId="0" fontId="3" fillId="0" borderId="8" xfId="6" applyFont="1" applyBorder="1"/>
    <xf numFmtId="0" fontId="23" fillId="6" borderId="9" xfId="6" applyFont="1" applyFill="1" applyBorder="1" applyAlignment="1">
      <alignment horizontal="center"/>
    </xf>
    <xf numFmtId="0" fontId="23" fillId="6" borderId="0" xfId="6" applyFont="1" applyFill="1" applyAlignment="1">
      <alignment horizontal="center"/>
    </xf>
    <xf numFmtId="0" fontId="23" fillId="6" borderId="0" xfId="6" applyFont="1" applyFill="1" applyAlignment="1">
      <alignment horizontal="center" wrapText="1"/>
    </xf>
    <xf numFmtId="0" fontId="23" fillId="6" borderId="0" xfId="6" applyFont="1" applyFill="1" applyAlignment="1">
      <alignment horizontal="center" wrapText="1"/>
    </xf>
    <xf numFmtId="43" fontId="3" fillId="5" borderId="0" xfId="6" applyNumberFormat="1" applyFont="1" applyFill="1" applyAlignment="1">
      <alignment horizontal="center"/>
    </xf>
    <xf numFmtId="164" fontId="3" fillId="5" borderId="0" xfId="0" applyFont="1" applyFill="1"/>
    <xf numFmtId="0" fontId="3" fillId="0" borderId="13" xfId="6" applyFont="1" applyBorder="1"/>
    <xf numFmtId="0" fontId="23" fillId="7" borderId="0" xfId="6" applyFont="1" applyFill="1" applyAlignment="1">
      <alignment horizontal="left"/>
    </xf>
    <xf numFmtId="0" fontId="3" fillId="7" borderId="0" xfId="6" applyFont="1" applyFill="1"/>
    <xf numFmtId="0" fontId="7" fillId="8" borderId="0" xfId="6" applyFill="1"/>
    <xf numFmtId="0" fontId="23" fillId="0" borderId="6" xfId="6" applyFont="1" applyBorder="1" applyAlignment="1">
      <alignment horizontal="center"/>
    </xf>
    <xf numFmtId="0" fontId="23" fillId="0" borderId="7" xfId="6" applyFont="1" applyBorder="1" applyAlignment="1">
      <alignment horizontal="center"/>
    </xf>
    <xf numFmtId="0" fontId="23" fillId="0" borderId="6" xfId="6" applyFont="1" applyBorder="1" applyAlignment="1">
      <alignment horizontal="center" wrapText="1"/>
    </xf>
    <xf numFmtId="0" fontId="23" fillId="0" borderId="7" xfId="6" applyFont="1" applyBorder="1" applyAlignment="1">
      <alignment horizontal="center" wrapText="1"/>
    </xf>
    <xf numFmtId="0" fontId="5" fillId="0" borderId="9" xfId="6" applyFont="1" applyBorder="1" applyAlignment="1">
      <alignment horizontal="center"/>
    </xf>
    <xf numFmtId="3" fontId="5" fillId="0" borderId="0" xfId="6" applyNumberFormat="1" applyFont="1" applyAlignment="1">
      <alignment horizontal="center"/>
    </xf>
    <xf numFmtId="0" fontId="5" fillId="0" borderId="0" xfId="6" applyFont="1" applyAlignment="1">
      <alignment horizontal="center"/>
    </xf>
    <xf numFmtId="164" fontId="30" fillId="0" borderId="0" xfId="0" applyFont="1"/>
    <xf numFmtId="165" fontId="3" fillId="5" borderId="9" xfId="7" applyNumberFormat="1" applyFont="1" applyFill="1" applyBorder="1" applyAlignment="1">
      <alignment horizontal="right"/>
    </xf>
    <xf numFmtId="165" fontId="3" fillId="5" borderId="0" xfId="7" applyNumberFormat="1" applyFont="1" applyFill="1" applyBorder="1" applyAlignment="1">
      <alignment horizontal="right"/>
    </xf>
    <xf numFmtId="0" fontId="3" fillId="0" borderId="9" xfId="6" applyFont="1" applyBorder="1" applyAlignment="1">
      <alignment horizontal="left"/>
    </xf>
    <xf numFmtId="0" fontId="3" fillId="0" borderId="12" xfId="6" applyFont="1" applyBorder="1"/>
    <xf numFmtId="0" fontId="23" fillId="6" borderId="8" xfId="6" applyFont="1" applyFill="1" applyBorder="1" applyAlignment="1">
      <alignment horizontal="center"/>
    </xf>
    <xf numFmtId="0" fontId="23" fillId="6" borderId="8" xfId="6" applyFont="1" applyFill="1" applyBorder="1" applyAlignment="1">
      <alignment horizontal="center" wrapText="1"/>
    </xf>
    <xf numFmtId="168" fontId="5" fillId="0" borderId="0" xfId="6" applyNumberFormat="1" applyFont="1" applyAlignment="1">
      <alignment horizontal="left"/>
    </xf>
    <xf numFmtId="3" fontId="3" fillId="0" borderId="10" xfId="6" applyNumberFormat="1" applyFont="1" applyBorder="1"/>
    <xf numFmtId="0" fontId="5" fillId="5" borderId="0" xfId="6" applyFont="1" applyFill="1" applyAlignment="1">
      <alignment horizontal="center"/>
    </xf>
    <xf numFmtId="0" fontId="5" fillId="3" borderId="0" xfId="6" applyFont="1" applyFill="1" applyAlignment="1">
      <alignment horizontal="center"/>
    </xf>
    <xf numFmtId="0" fontId="5" fillId="0" borderId="10" xfId="6" applyFont="1" applyBorder="1" applyAlignment="1">
      <alignment horizontal="center"/>
    </xf>
    <xf numFmtId="10" fontId="3" fillId="5" borderId="0" xfId="1" applyNumberFormat="1" applyFont="1" applyFill="1" applyBorder="1" applyAlignment="1"/>
    <xf numFmtId="168" fontId="3" fillId="3" borderId="0" xfId="8" applyNumberFormat="1" applyFont="1" applyFill="1" applyBorder="1" applyAlignment="1">
      <alignment horizontal="center"/>
    </xf>
    <xf numFmtId="9" fontId="3" fillId="3" borderId="0" xfId="8" applyFont="1" applyFill="1" applyBorder="1" applyAlignment="1">
      <alignment horizontal="center"/>
    </xf>
    <xf numFmtId="0" fontId="3" fillId="3" borderId="0" xfId="6" applyFont="1" applyFill="1" applyAlignment="1">
      <alignment horizontal="center"/>
    </xf>
    <xf numFmtId="10" fontId="3" fillId="0" borderId="0" xfId="4" applyNumberFormat="1" applyFont="1" applyFill="1" applyBorder="1" applyAlignment="1">
      <alignment horizontal="center"/>
    </xf>
    <xf numFmtId="164" fontId="3" fillId="0" borderId="1" xfId="6" applyNumberFormat="1" applyFont="1" applyBorder="1"/>
    <xf numFmtId="176" fontId="3" fillId="0" borderId="13" xfId="4" applyNumberFormat="1" applyFont="1" applyFill="1" applyBorder="1" applyAlignment="1">
      <alignment horizontal="center"/>
    </xf>
    <xf numFmtId="0" fontId="9" fillId="0" borderId="0" xfId="6" applyFont="1" applyAlignment="1">
      <alignment horizontal="left"/>
    </xf>
    <xf numFmtId="0" fontId="5" fillId="0" borderId="6" xfId="6" applyFont="1" applyBorder="1" applyAlignment="1">
      <alignment horizontal="center"/>
    </xf>
    <xf numFmtId="0" fontId="5" fillId="0" borderId="7" xfId="6" applyFont="1" applyBorder="1" applyAlignment="1">
      <alignment horizontal="center"/>
    </xf>
    <xf numFmtId="0" fontId="5" fillId="0" borderId="8" xfId="6" applyFont="1" applyBorder="1" applyAlignment="1">
      <alignment horizontal="center"/>
    </xf>
    <xf numFmtId="0" fontId="5" fillId="0" borderId="6" xfId="6" applyFont="1" applyBorder="1" applyAlignment="1">
      <alignment horizontal="center" wrapText="1"/>
    </xf>
    <xf numFmtId="0" fontId="5" fillId="0" borderId="7" xfId="6" applyFont="1" applyBorder="1" applyAlignment="1">
      <alignment horizontal="center" wrapText="1"/>
    </xf>
    <xf numFmtId="0" fontId="5" fillId="0" borderId="8" xfId="6" applyFont="1" applyBorder="1" applyAlignment="1">
      <alignment horizontal="center" wrapText="1"/>
    </xf>
    <xf numFmtId="165" fontId="3" fillId="0" borderId="0" xfId="6" applyNumberFormat="1" applyFont="1" applyAlignment="1">
      <alignment horizontal="center"/>
    </xf>
    <xf numFmtId="0" fontId="7" fillId="0" borderId="12" xfId="6" applyBorder="1"/>
    <xf numFmtId="0" fontId="7" fillId="0" borderId="1" xfId="6" applyBorder="1"/>
    <xf numFmtId="0" fontId="7" fillId="0" borderId="13" xfId="6" applyBorder="1"/>
    <xf numFmtId="165" fontId="3" fillId="0" borderId="1" xfId="6" applyNumberFormat="1" applyFont="1" applyBorder="1"/>
    <xf numFmtId="165" fontId="3" fillId="0" borderId="13" xfId="6" applyNumberFormat="1" applyFont="1" applyBorder="1"/>
    <xf numFmtId="0" fontId="12" fillId="6" borderId="7" xfId="6" applyFont="1" applyFill="1" applyBorder="1" applyAlignment="1">
      <alignment horizontal="center" wrapText="1"/>
    </xf>
    <xf numFmtId="0" fontId="12" fillId="6" borderId="8" xfId="6" applyFont="1" applyFill="1" applyBorder="1" applyAlignment="1">
      <alignment horizontal="center" wrapText="1"/>
    </xf>
    <xf numFmtId="3" fontId="5" fillId="0" borderId="0" xfId="6" applyNumberFormat="1" applyFont="1"/>
    <xf numFmtId="43" fontId="5" fillId="5" borderId="9" xfId="1" applyFont="1" applyFill="1" applyBorder="1"/>
    <xf numFmtId="0" fontId="23" fillId="0" borderId="1" xfId="6" applyFont="1" applyBorder="1"/>
    <xf numFmtId="0" fontId="23" fillId="0" borderId="0" xfId="6" applyFont="1"/>
    <xf numFmtId="0" fontId="23" fillId="6" borderId="6" xfId="6" applyFont="1" applyFill="1" applyBorder="1" applyAlignment="1">
      <alignment horizontal="left"/>
    </xf>
    <xf numFmtId="0" fontId="23" fillId="6" borderId="7" xfId="6" applyFont="1" applyFill="1" applyBorder="1" applyAlignment="1">
      <alignment horizontal="center"/>
    </xf>
    <xf numFmtId="0" fontId="3" fillId="6" borderId="7" xfId="6" applyFont="1" applyFill="1" applyBorder="1"/>
    <xf numFmtId="0" fontId="12" fillId="6" borderId="8" xfId="6" applyFont="1" applyFill="1" applyBorder="1" applyAlignment="1">
      <alignment horizontal="center" wrapText="1"/>
    </xf>
    <xf numFmtId="168" fontId="3" fillId="0" borderId="0" xfId="8" applyNumberFormat="1" applyFont="1" applyFill="1" applyBorder="1" applyAlignment="1"/>
    <xf numFmtId="165" fontId="3" fillId="0" borderId="0" xfId="7" applyNumberFormat="1" applyFont="1" applyFill="1" applyBorder="1" applyAlignment="1">
      <alignment horizontal="left"/>
    </xf>
    <xf numFmtId="0" fontId="3" fillId="0" borderId="10" xfId="6" applyFont="1" applyBorder="1" applyAlignment="1">
      <alignment horizontal="center"/>
    </xf>
    <xf numFmtId="165" fontId="10" fillId="5" borderId="0" xfId="1" applyNumberFormat="1" applyFont="1" applyFill="1" applyBorder="1" applyAlignment="1">
      <alignment horizontal="center"/>
    </xf>
    <xf numFmtId="165" fontId="3" fillId="5" borderId="0" xfId="7" applyNumberFormat="1" applyFont="1" applyFill="1" applyBorder="1" applyAlignment="1"/>
    <xf numFmtId="165" fontId="10" fillId="3" borderId="0" xfId="1" applyNumberFormat="1" applyFont="1" applyFill="1" applyBorder="1" applyAlignment="1">
      <alignment horizontal="center"/>
    </xf>
    <xf numFmtId="0" fontId="3" fillId="0" borderId="1" xfId="6" applyFont="1" applyBorder="1" applyAlignment="1">
      <alignment horizontal="right"/>
    </xf>
    <xf numFmtId="165" fontId="3" fillId="0" borderId="1" xfId="7" applyNumberFormat="1" applyFont="1" applyBorder="1"/>
    <xf numFmtId="165" fontId="5" fillId="0" borderId="1" xfId="7" applyNumberFormat="1" applyFont="1" applyBorder="1" applyAlignment="1"/>
    <xf numFmtId="165" fontId="5" fillId="0" borderId="0" xfId="7" applyNumberFormat="1" applyFont="1" applyBorder="1" applyAlignment="1"/>
    <xf numFmtId="165" fontId="3" fillId="0" borderId="0" xfId="7" applyNumberFormat="1" applyFont="1" applyBorder="1"/>
    <xf numFmtId="165" fontId="3" fillId="0" borderId="0" xfId="1" applyNumberFormat="1" applyFont="1" applyFill="1" applyBorder="1"/>
    <xf numFmtId="165" fontId="3" fillId="0" borderId="0" xfId="6" applyNumberFormat="1" applyFont="1" applyAlignment="1">
      <alignment horizontal="left"/>
    </xf>
    <xf numFmtId="165" fontId="3" fillId="0" borderId="10" xfId="6" applyNumberFormat="1" applyFont="1" applyBorder="1"/>
    <xf numFmtId="165" fontId="7" fillId="0" borderId="0" xfId="1" applyNumberFormat="1" applyFont="1" applyFill="1" applyBorder="1"/>
    <xf numFmtId="168" fontId="3" fillId="0" borderId="0" xfId="8" applyNumberFormat="1" applyFont="1" applyFill="1" applyBorder="1" applyAlignment="1">
      <alignment horizontal="left"/>
    </xf>
    <xf numFmtId="165" fontId="3" fillId="5" borderId="18" xfId="7" applyNumberFormat="1" applyFont="1" applyFill="1" applyBorder="1" applyAlignment="1">
      <alignment horizontal="left"/>
    </xf>
    <xf numFmtId="49" fontId="3" fillId="5" borderId="18" xfId="8" applyNumberFormat="1" applyFont="1" applyFill="1" applyBorder="1" applyAlignment="1">
      <alignment horizontal="left"/>
    </xf>
    <xf numFmtId="0" fontId="3" fillId="5" borderId="18" xfId="6" applyFont="1" applyFill="1" applyBorder="1"/>
    <xf numFmtId="0" fontId="5" fillId="0" borderId="1" xfId="6" applyFont="1" applyBorder="1"/>
    <xf numFmtId="165" fontId="3" fillId="5" borderId="19" xfId="7" applyNumberFormat="1" applyFont="1" applyFill="1" applyBorder="1"/>
    <xf numFmtId="165" fontId="5" fillId="5" borderId="19" xfId="7" applyNumberFormat="1" applyFont="1" applyFill="1" applyBorder="1" applyAlignment="1"/>
    <xf numFmtId="165" fontId="5" fillId="0" borderId="1" xfId="7" applyNumberFormat="1" applyFont="1" applyFill="1" applyBorder="1" applyAlignment="1"/>
    <xf numFmtId="0" fontId="12" fillId="6" borderId="7" xfId="6" applyFont="1" applyFill="1" applyBorder="1" applyAlignment="1">
      <alignment horizontal="center" wrapText="1"/>
    </xf>
    <xf numFmtId="0" fontId="11" fillId="0" borderId="0" xfId="6" applyFont="1"/>
    <xf numFmtId="1" fontId="10" fillId="0" borderId="0" xfId="6" applyNumberFormat="1" applyFont="1" applyAlignment="1">
      <alignment horizontal="center"/>
    </xf>
    <xf numFmtId="164" fontId="3" fillId="0" borderId="0" xfId="1" applyNumberFormat="1" applyFont="1" applyFill="1" applyBorder="1" applyAlignment="1">
      <alignment horizontal="right"/>
    </xf>
    <xf numFmtId="164" fontId="3" fillId="0" borderId="0" xfId="1" applyNumberFormat="1" applyFont="1" applyFill="1" applyBorder="1" applyAlignment="1"/>
    <xf numFmtId="165" fontId="3" fillId="5" borderId="0" xfId="1" applyNumberFormat="1" applyFont="1" applyFill="1" applyBorder="1" applyAlignment="1">
      <alignment horizontal="right"/>
    </xf>
    <xf numFmtId="43" fontId="3" fillId="0" borderId="0" xfId="1" applyFont="1" applyBorder="1"/>
    <xf numFmtId="164" fontId="7" fillId="2" borderId="0" xfId="9" applyFont="1" applyFill="1" applyAlignment="1">
      <alignment horizontal="left"/>
    </xf>
    <xf numFmtId="0" fontId="3" fillId="0" borderId="0" xfId="1" applyNumberFormat="1" applyFont="1" applyAlignment="1">
      <alignment horizontal="center"/>
    </xf>
    <xf numFmtId="165" fontId="19" fillId="0" borderId="0" xfId="1" applyNumberFormat="1" applyFont="1" applyFill="1" applyAlignment="1"/>
    <xf numFmtId="165" fontId="0" fillId="0" borderId="0" xfId="1" applyNumberFormat="1" applyFont="1" applyAlignment="1"/>
    <xf numFmtId="0" fontId="23" fillId="0" borderId="0" xfId="1" applyNumberFormat="1" applyFont="1" applyFill="1" applyBorder="1" applyAlignment="1">
      <alignment horizontal="left"/>
    </xf>
    <xf numFmtId="165" fontId="7" fillId="0" borderId="0" xfId="1" applyNumberFormat="1" applyFont="1"/>
    <xf numFmtId="165" fontId="23" fillId="6" borderId="0" xfId="1" applyNumberFormat="1" applyFont="1" applyFill="1" applyBorder="1" applyAlignment="1">
      <alignment horizontal="center" wrapText="1"/>
    </xf>
    <xf numFmtId="165" fontId="23" fillId="6" borderId="0" xfId="1" applyNumberFormat="1" applyFont="1" applyFill="1" applyBorder="1" applyAlignment="1">
      <alignment horizontal="center" wrapText="1"/>
    </xf>
    <xf numFmtId="165" fontId="12" fillId="6" borderId="0" xfId="1" applyNumberFormat="1" applyFont="1" applyFill="1" applyBorder="1" applyAlignment="1">
      <alignment horizontal="center" wrapText="1"/>
    </xf>
    <xf numFmtId="0" fontId="3" fillId="0" borderId="6" xfId="1" applyNumberFormat="1" applyFont="1" applyFill="1" applyBorder="1" applyAlignment="1">
      <alignment horizontal="center"/>
    </xf>
    <xf numFmtId="3" fontId="5" fillId="0" borderId="7" xfId="6" applyNumberFormat="1" applyFont="1" applyBorder="1" applyAlignment="1">
      <alignment horizontal="left"/>
    </xf>
    <xf numFmtId="165" fontId="3" fillId="0" borderId="7" xfId="1" applyNumberFormat="1" applyFont="1" applyFill="1" applyBorder="1"/>
    <xf numFmtId="165" fontId="3" fillId="0" borderId="7" xfId="1" applyNumberFormat="1" applyFont="1" applyFill="1" applyBorder="1" applyAlignment="1">
      <alignment horizontal="center"/>
    </xf>
    <xf numFmtId="165" fontId="3" fillId="0" borderId="7" xfId="1" applyNumberFormat="1" applyFont="1" applyBorder="1"/>
    <xf numFmtId="165" fontId="3" fillId="0" borderId="8" xfId="1" applyNumberFormat="1" applyFont="1" applyBorder="1"/>
    <xf numFmtId="0" fontId="5" fillId="0" borderId="9" xfId="1" applyNumberFormat="1" applyFont="1" applyBorder="1" applyAlignment="1">
      <alignment horizontal="center"/>
    </xf>
    <xf numFmtId="165" fontId="3" fillId="0" borderId="10" xfId="1" applyNumberFormat="1" applyFont="1" applyBorder="1" applyAlignment="1">
      <alignment horizontal="center"/>
    </xf>
    <xf numFmtId="0" fontId="3" fillId="0" borderId="9" xfId="1" applyNumberFormat="1" applyFont="1" applyBorder="1" applyAlignment="1">
      <alignment horizontal="center"/>
    </xf>
    <xf numFmtId="0" fontId="5" fillId="0" borderId="17" xfId="1" applyNumberFormat="1" applyFont="1" applyBorder="1" applyAlignment="1">
      <alignment horizontal="center"/>
    </xf>
    <xf numFmtId="164" fontId="5" fillId="0" borderId="3" xfId="0" applyFont="1" applyBorder="1" applyAlignment="1">
      <alignment horizontal="center"/>
    </xf>
    <xf numFmtId="165" fontId="5" fillId="0" borderId="3" xfId="1" applyNumberFormat="1" applyFont="1" applyFill="1" applyBorder="1" applyAlignment="1">
      <alignment horizontal="center"/>
    </xf>
    <xf numFmtId="165" fontId="5" fillId="0" borderId="11" xfId="1" applyNumberFormat="1" applyFont="1" applyFill="1" applyBorder="1" applyAlignment="1">
      <alignment horizontal="center"/>
    </xf>
    <xf numFmtId="165" fontId="3" fillId="0" borderId="10" xfId="1" applyNumberFormat="1" applyFont="1" applyFill="1" applyBorder="1" applyAlignment="1">
      <alignment horizontal="center"/>
    </xf>
    <xf numFmtId="165" fontId="3" fillId="0" borderId="0" xfId="1" applyNumberFormat="1" applyFont="1" applyBorder="1"/>
    <xf numFmtId="165" fontId="3" fillId="0" borderId="10" xfId="1" applyNumberFormat="1" applyFont="1" applyBorder="1"/>
    <xf numFmtId="164" fontId="3" fillId="0" borderId="0" xfId="0" applyFont="1" applyAlignment="1">
      <alignment horizontal="left" indent="1"/>
    </xf>
    <xf numFmtId="165" fontId="3" fillId="3" borderId="20" xfId="1" applyNumberFormat="1" applyFont="1" applyFill="1" applyBorder="1"/>
    <xf numFmtId="164" fontId="3" fillId="0" borderId="0" xfId="0" applyFont="1" applyAlignment="1">
      <alignment horizontal="left" indent="2"/>
    </xf>
    <xf numFmtId="165" fontId="3" fillId="3" borderId="21" xfId="1" applyNumberFormat="1" applyFont="1" applyFill="1" applyBorder="1"/>
    <xf numFmtId="164" fontId="3" fillId="0" borderId="0" xfId="0" applyFont="1" applyAlignment="1">
      <alignment horizontal="left"/>
    </xf>
    <xf numFmtId="165" fontId="3" fillId="0" borderId="22" xfId="1" applyNumberFormat="1" applyFont="1" applyBorder="1"/>
    <xf numFmtId="164" fontId="3" fillId="0" borderId="0" xfId="0" applyFont="1" applyAlignment="1">
      <alignment horizontal="left" wrapText="1" indent="1"/>
    </xf>
    <xf numFmtId="9" fontId="0" fillId="0" borderId="0" xfId="4" applyFont="1" applyAlignment="1"/>
    <xf numFmtId="165" fontId="3" fillId="0" borderId="10" xfId="1" applyNumberFormat="1" applyFont="1" applyFill="1" applyBorder="1"/>
    <xf numFmtId="165" fontId="0" fillId="0" borderId="0" xfId="4" applyNumberFormat="1" applyFont="1" applyAlignment="1"/>
    <xf numFmtId="10" fontId="3" fillId="0" borderId="0" xfId="4" applyNumberFormat="1" applyFont="1" applyFill="1" applyBorder="1" applyAlignment="1"/>
    <xf numFmtId="165" fontId="5" fillId="0" borderId="0" xfId="1" applyNumberFormat="1" applyFont="1" applyBorder="1"/>
    <xf numFmtId="10" fontId="5" fillId="0" borderId="0" xfId="4" applyNumberFormat="1" applyFont="1" applyBorder="1"/>
    <xf numFmtId="165" fontId="5" fillId="0" borderId="10" xfId="1" applyNumberFormat="1" applyFont="1" applyBorder="1"/>
    <xf numFmtId="165" fontId="3" fillId="3" borderId="23" xfId="1" applyNumberFormat="1" applyFont="1" applyFill="1" applyBorder="1"/>
    <xf numFmtId="10" fontId="3" fillId="0" borderId="0" xfId="4" applyNumberFormat="1" applyFont="1" applyBorder="1"/>
    <xf numFmtId="164" fontId="3" fillId="0" borderId="0" xfId="0" applyFont="1" applyAlignment="1">
      <alignment horizontal="left" wrapText="1" indent="2"/>
    </xf>
    <xf numFmtId="165" fontId="3" fillId="3" borderId="24" xfId="1" applyNumberFormat="1" applyFont="1" applyFill="1" applyBorder="1"/>
    <xf numFmtId="177" fontId="3" fillId="0" borderId="22" xfId="4" applyNumberFormat="1" applyFont="1" applyBorder="1"/>
    <xf numFmtId="0" fontId="3" fillId="0" borderId="12" xfId="1" applyNumberFormat="1" applyFont="1" applyBorder="1" applyAlignment="1">
      <alignment horizontal="center"/>
    </xf>
    <xf numFmtId="165" fontId="3" fillId="0" borderId="1" xfId="1" applyNumberFormat="1" applyFont="1" applyBorder="1"/>
    <xf numFmtId="165" fontId="3" fillId="0" borderId="13" xfId="1" applyNumberFormat="1" applyFont="1" applyBorder="1"/>
    <xf numFmtId="165" fontId="3" fillId="0" borderId="0" xfId="1" applyNumberFormat="1" applyFont="1" applyAlignment="1">
      <alignment horizontal="center"/>
    </xf>
    <xf numFmtId="3" fontId="6" fillId="0" borderId="0" xfId="9" applyNumberFormat="1" applyFont="1" applyAlignment="1">
      <alignment horizontal="center"/>
    </xf>
    <xf numFmtId="3" fontId="5" fillId="0" borderId="0" xfId="9" applyNumberFormat="1" applyFont="1" applyAlignment="1">
      <alignment horizontal="center"/>
    </xf>
    <xf numFmtId="0" fontId="3" fillId="0" borderId="0" xfId="9" applyNumberFormat="1" applyFont="1"/>
    <xf numFmtId="0" fontId="3" fillId="0" borderId="0" xfId="10" applyNumberFormat="1" applyFont="1" applyAlignment="1">
      <alignment horizontal="center"/>
    </xf>
    <xf numFmtId="165" fontId="5" fillId="0" borderId="0" xfId="1" applyNumberFormat="1" applyFont="1" applyAlignment="1"/>
    <xf numFmtId="0" fontId="5" fillId="0" borderId="0" xfId="9" applyNumberFormat="1" applyFont="1" applyAlignment="1">
      <alignment horizontal="center"/>
    </xf>
    <xf numFmtId="0" fontId="5" fillId="0" borderId="0" xfId="10" applyNumberFormat="1" applyFont="1" applyAlignment="1">
      <alignment horizontal="center"/>
    </xf>
    <xf numFmtId="165" fontId="5" fillId="0" borderId="0" xfId="1" applyNumberFormat="1" applyFont="1" applyAlignment="1">
      <alignment horizontal="center"/>
    </xf>
    <xf numFmtId="0" fontId="3" fillId="0" borderId="0" xfId="10" applyNumberFormat="1" applyFont="1" applyProtection="1">
      <protection locked="0"/>
    </xf>
    <xf numFmtId="3" fontId="3" fillId="0" borderId="0" xfId="10" applyNumberFormat="1" applyFont="1"/>
    <xf numFmtId="3" fontId="3" fillId="0" borderId="1" xfId="10" applyNumberFormat="1" applyFont="1" applyBorder="1" applyAlignment="1">
      <alignment horizontal="center"/>
    </xf>
    <xf numFmtId="0" fontId="3" fillId="0" borderId="0" xfId="10" applyNumberFormat="1" applyFont="1"/>
    <xf numFmtId="3" fontId="3" fillId="0" borderId="0" xfId="10" applyNumberFormat="1" applyFont="1" applyAlignment="1">
      <alignment horizontal="center"/>
    </xf>
    <xf numFmtId="0" fontId="3" fillId="0" borderId="1" xfId="10" applyNumberFormat="1" applyFont="1" applyBorder="1" applyAlignment="1" applyProtection="1">
      <alignment horizontal="center"/>
      <protection locked="0"/>
    </xf>
    <xf numFmtId="43" fontId="3" fillId="0" borderId="0" xfId="1" applyFont="1" applyFill="1" applyAlignment="1">
      <alignment horizontal="center"/>
    </xf>
    <xf numFmtId="171" fontId="3" fillId="0" borderId="0" xfId="10" applyNumberFormat="1" applyFont="1"/>
    <xf numFmtId="164" fontId="3" fillId="0" borderId="0" xfId="10" applyFont="1"/>
    <xf numFmtId="43" fontId="3" fillId="0" borderId="1" xfId="1" applyFont="1" applyFill="1" applyBorder="1" applyAlignment="1">
      <alignment horizontal="center"/>
    </xf>
    <xf numFmtId="166" fontId="3" fillId="0" borderId="1" xfId="1" applyNumberFormat="1" applyFont="1" applyBorder="1" applyAlignment="1"/>
    <xf numFmtId="167" fontId="3" fillId="0" borderId="0" xfId="10" applyNumberFormat="1" applyFont="1" applyAlignment="1">
      <alignment horizontal="center"/>
    </xf>
    <xf numFmtId="3" fontId="3" fillId="0" borderId="0" xfId="11" applyNumberFormat="1" applyFont="1"/>
    <xf numFmtId="167" fontId="3" fillId="0" borderId="0" xfId="11" applyNumberFormat="1" applyFont="1"/>
    <xf numFmtId="10" fontId="3" fillId="0" borderId="3" xfId="5" applyNumberFormat="1" applyFont="1" applyBorder="1" applyAlignment="1">
      <alignment horizontal="left"/>
    </xf>
    <xf numFmtId="0" fontId="3" fillId="0" borderId="0" xfId="11" applyFont="1"/>
    <xf numFmtId="165" fontId="3" fillId="0" borderId="0" xfId="1" applyNumberFormat="1" applyFont="1" applyFill="1" applyAlignment="1">
      <alignment horizontal="right"/>
    </xf>
    <xf numFmtId="10" fontId="3" fillId="0" borderId="0" xfId="10" applyNumberFormat="1" applyFont="1" applyAlignment="1">
      <alignment horizontal="left"/>
    </xf>
    <xf numFmtId="164" fontId="31" fillId="0" borderId="0" xfId="0" applyFont="1"/>
    <xf numFmtId="165" fontId="3" fillId="0" borderId="0" xfId="1" applyNumberFormat="1" applyFont="1" applyFill="1" applyAlignment="1" applyProtection="1">
      <alignment horizontal="center"/>
      <protection locked="0"/>
    </xf>
    <xf numFmtId="0" fontId="3" fillId="0" borderId="0" xfId="12" applyFont="1" applyAlignment="1">
      <alignment horizontal="left"/>
    </xf>
    <xf numFmtId="164" fontId="3" fillId="0" borderId="18" xfId="0" applyFont="1" applyBorder="1"/>
    <xf numFmtId="164" fontId="3" fillId="4" borderId="18" xfId="0" applyFont="1" applyFill="1" applyBorder="1"/>
    <xf numFmtId="0" fontId="3" fillId="0" borderId="0" xfId="12" applyFont="1" applyAlignment="1">
      <alignment horizontal="center"/>
    </xf>
    <xf numFmtId="0" fontId="7" fillId="0" borderId="0" xfId="12"/>
    <xf numFmtId="0" fontId="5" fillId="0" borderId="0" xfId="12" applyFont="1" applyAlignment="1">
      <alignment horizontal="center"/>
    </xf>
    <xf numFmtId="164" fontId="13" fillId="0" borderId="0" xfId="0" applyFont="1"/>
    <xf numFmtId="0" fontId="3" fillId="0" borderId="0" xfId="12" applyFont="1" applyAlignment="1">
      <alignment horizontal="center"/>
    </xf>
    <xf numFmtId="0" fontId="3" fillId="0" borderId="0" xfId="12" applyFont="1"/>
    <xf numFmtId="0" fontId="3" fillId="0" borderId="0" xfId="12" applyFont="1" applyAlignment="1">
      <alignment horizontal="center" wrapText="1"/>
    </xf>
    <xf numFmtId="165" fontId="3" fillId="0" borderId="0" xfId="0" applyNumberFormat="1" applyFont="1"/>
    <xf numFmtId="165" fontId="3" fillId="0" borderId="0" xfId="12" applyNumberFormat="1" applyFont="1"/>
    <xf numFmtId="172" fontId="3" fillId="0" borderId="0" xfId="1" applyNumberFormat="1" applyFont="1" applyFill="1"/>
    <xf numFmtId="172" fontId="3" fillId="0" borderId="0" xfId="1" applyNumberFormat="1" applyFont="1"/>
    <xf numFmtId="0" fontId="23" fillId="0" borderId="0" xfId="12" applyFont="1"/>
    <xf numFmtId="0" fontId="5" fillId="0" borderId="0" xfId="12" applyFont="1" applyAlignment="1">
      <alignment horizontal="center"/>
    </xf>
    <xf numFmtId="0" fontId="5" fillId="0" borderId="0" xfId="12" applyFont="1"/>
    <xf numFmtId="0" fontId="3" fillId="5" borderId="25" xfId="12" applyFont="1" applyFill="1" applyBorder="1"/>
    <xf numFmtId="0" fontId="3" fillId="5" borderId="5" xfId="12" applyFont="1" applyFill="1" applyBorder="1"/>
    <xf numFmtId="0" fontId="3" fillId="5" borderId="26" xfId="12" applyFont="1" applyFill="1" applyBorder="1"/>
    <xf numFmtId="0" fontId="3" fillId="5" borderId="18" xfId="12" applyFont="1" applyFill="1" applyBorder="1"/>
    <xf numFmtId="0" fontId="3" fillId="0" borderId="0" xfId="0" applyNumberFormat="1" applyFont="1" applyAlignment="1">
      <alignment horizontal="center" wrapText="1"/>
    </xf>
    <xf numFmtId="0" fontId="3" fillId="0" borderId="0" xfId="13" applyFont="1" applyAlignment="1">
      <alignment horizontal="center" wrapText="1"/>
    </xf>
    <xf numFmtId="0" fontId="3" fillId="0" borderId="27" xfId="0" applyNumberFormat="1" applyFont="1" applyBorder="1" applyAlignment="1">
      <alignment horizontal="center" wrapText="1"/>
    </xf>
    <xf numFmtId="0" fontId="3" fillId="0" borderId="3" xfId="0" applyNumberFormat="1" applyFont="1" applyBorder="1" applyAlignment="1">
      <alignment horizontal="center" wrapText="1"/>
    </xf>
    <xf numFmtId="0" fontId="3" fillId="0" borderId="28" xfId="0" applyNumberFormat="1" applyFont="1" applyBorder="1" applyAlignment="1">
      <alignment horizontal="center" wrapText="1"/>
    </xf>
    <xf numFmtId="0" fontId="3" fillId="0" borderId="29" xfId="0" applyNumberFormat="1" applyFont="1" applyBorder="1" applyAlignment="1">
      <alignment horizontal="center" wrapText="1"/>
    </xf>
    <xf numFmtId="0" fontId="3" fillId="0" borderId="18" xfId="12" applyFont="1" applyBorder="1" applyAlignment="1">
      <alignment horizontal="center"/>
    </xf>
    <xf numFmtId="0" fontId="3" fillId="0" borderId="18" xfId="12" applyFont="1" applyBorder="1" applyAlignment="1">
      <alignment horizontal="center" wrapText="1"/>
    </xf>
    <xf numFmtId="0" fontId="3" fillId="0" borderId="0" xfId="12" applyFont="1" applyAlignment="1">
      <alignment horizontal="left" wrapText="1"/>
    </xf>
    <xf numFmtId="0" fontId="3" fillId="0" borderId="30" xfId="12" applyFont="1" applyBorder="1" applyAlignment="1">
      <alignment horizontal="center" wrapText="1"/>
    </xf>
    <xf numFmtId="0" fontId="3" fillId="0" borderId="4" xfId="12" applyFont="1" applyBorder="1" applyAlignment="1">
      <alignment horizontal="center" wrapText="1"/>
    </xf>
    <xf numFmtId="0" fontId="3" fillId="0" borderId="31" xfId="12" applyFont="1" applyBorder="1" applyAlignment="1">
      <alignment horizontal="center" wrapText="1"/>
    </xf>
    <xf numFmtId="0" fontId="3" fillId="0" borderId="32" xfId="12" applyFont="1" applyBorder="1" applyAlignment="1">
      <alignment horizontal="center"/>
    </xf>
    <xf numFmtId="0" fontId="3" fillId="0" borderId="33" xfId="12" applyFont="1" applyBorder="1"/>
    <xf numFmtId="0" fontId="3" fillId="0" borderId="34" xfId="12" applyFont="1" applyBorder="1" applyAlignment="1">
      <alignment horizontal="center" wrapText="1"/>
    </xf>
    <xf numFmtId="0" fontId="3" fillId="0" borderId="34" xfId="12" applyFont="1" applyBorder="1" applyAlignment="1">
      <alignment horizontal="center"/>
    </xf>
    <xf numFmtId="0" fontId="3" fillId="0" borderId="35" xfId="12" applyFont="1" applyBorder="1"/>
    <xf numFmtId="0" fontId="3" fillId="0" borderId="34" xfId="12" applyFont="1" applyBorder="1"/>
    <xf numFmtId="178" fontId="3" fillId="5" borderId="0" xfId="1" applyNumberFormat="1" applyFont="1" applyFill="1" applyBorder="1" applyAlignment="1">
      <alignment horizontal="center"/>
    </xf>
    <xf numFmtId="165" fontId="3" fillId="5" borderId="0" xfId="1" applyNumberFormat="1" applyFont="1" applyFill="1" applyBorder="1" applyAlignment="1">
      <alignment horizontal="center"/>
    </xf>
    <xf numFmtId="172" fontId="3" fillId="0" borderId="0" xfId="1" applyNumberFormat="1" applyFont="1" applyFill="1" applyBorder="1" applyAlignment="1">
      <alignment horizontal="center"/>
    </xf>
    <xf numFmtId="165" fontId="3" fillId="5" borderId="33" xfId="1" applyNumberFormat="1" applyFont="1" applyFill="1" applyBorder="1"/>
    <xf numFmtId="165" fontId="3" fillId="5" borderId="0" xfId="1" applyNumberFormat="1" applyFont="1" applyFill="1" applyBorder="1"/>
    <xf numFmtId="165" fontId="3" fillId="0" borderId="34" xfId="1" applyNumberFormat="1" applyFont="1" applyBorder="1"/>
    <xf numFmtId="165" fontId="3" fillId="0" borderId="34" xfId="1" applyNumberFormat="1" applyFont="1" applyFill="1" applyBorder="1"/>
    <xf numFmtId="165" fontId="3" fillId="0" borderId="35" xfId="12" applyNumberFormat="1" applyFont="1" applyBorder="1"/>
    <xf numFmtId="43" fontId="7" fillId="0" borderId="0" xfId="12" applyNumberFormat="1"/>
    <xf numFmtId="43" fontId="3" fillId="5" borderId="0" xfId="1" applyFont="1" applyFill="1" applyBorder="1" applyAlignment="1">
      <alignment horizontal="center"/>
    </xf>
    <xf numFmtId="172" fontId="3" fillId="0" borderId="0" xfId="0" applyNumberFormat="1" applyFont="1" applyAlignment="1">
      <alignment horizontal="center"/>
    </xf>
    <xf numFmtId="43" fontId="3" fillId="5" borderId="0" xfId="1" applyFont="1" applyFill="1" applyBorder="1" applyAlignment="1">
      <alignment horizontal="left"/>
    </xf>
    <xf numFmtId="10" fontId="3" fillId="0" borderId="0" xfId="1" applyNumberFormat="1" applyFont="1" applyFill="1" applyBorder="1" applyAlignment="1">
      <alignment horizontal="center"/>
    </xf>
    <xf numFmtId="43" fontId="3" fillId="0" borderId="0" xfId="1" applyFont="1" applyFill="1" applyBorder="1" applyAlignment="1">
      <alignment horizontal="center"/>
    </xf>
    <xf numFmtId="165" fontId="3" fillId="5" borderId="33" xfId="1" applyNumberFormat="1" applyFont="1" applyFill="1" applyBorder="1" applyAlignment="1">
      <alignment horizontal="center"/>
    </xf>
    <xf numFmtId="43" fontId="3" fillId="5" borderId="33" xfId="1" applyFont="1" applyFill="1" applyBorder="1" applyAlignment="1">
      <alignment horizontal="center"/>
    </xf>
    <xf numFmtId="165" fontId="3" fillId="0" borderId="27" xfId="12" applyNumberFormat="1" applyFont="1" applyBorder="1"/>
    <xf numFmtId="165" fontId="3" fillId="0" borderId="3" xfId="12" applyNumberFormat="1" applyFont="1" applyBorder="1"/>
    <xf numFmtId="165" fontId="3" fillId="0" borderId="28" xfId="12" applyNumberFormat="1" applyFont="1" applyBorder="1"/>
    <xf numFmtId="165" fontId="3" fillId="0" borderId="34" xfId="12" applyNumberFormat="1" applyFont="1" applyBorder="1"/>
    <xf numFmtId="42" fontId="7" fillId="0" borderId="0" xfId="12" applyNumberFormat="1"/>
    <xf numFmtId="165" fontId="3" fillId="0" borderId="18" xfId="1" applyNumberFormat="1" applyFont="1" applyFill="1" applyBorder="1"/>
    <xf numFmtId="165" fontId="3" fillId="5" borderId="0" xfId="1" applyNumberFormat="1" applyFont="1" applyFill="1"/>
    <xf numFmtId="164" fontId="0" fillId="0" borderId="0" xfId="0" applyAlignment="1">
      <alignment wrapText="1"/>
    </xf>
    <xf numFmtId="42" fontId="3" fillId="0" borderId="0" xfId="12" applyNumberFormat="1" applyFont="1"/>
    <xf numFmtId="164" fontId="3" fillId="0" borderId="18" xfId="0" applyFont="1" applyBorder="1" applyAlignment="1">
      <alignment horizontal="center"/>
    </xf>
    <xf numFmtId="164" fontId="3" fillId="4" borderId="18" xfId="0" applyFont="1" applyFill="1" applyBorder="1" applyAlignment="1">
      <alignment horizontal="center"/>
    </xf>
    <xf numFmtId="49" fontId="3" fillId="0" borderId="0" xfId="9" applyNumberFormat="1" applyFont="1" applyAlignment="1">
      <alignment horizontal="left"/>
    </xf>
    <xf numFmtId="0" fontId="3" fillId="0" borderId="25" xfId="12" applyFont="1" applyBorder="1" applyAlignment="1">
      <alignment horizontal="center"/>
    </xf>
    <xf numFmtId="0" fontId="3" fillId="0" borderId="26" xfId="12" applyFont="1" applyBorder="1" applyAlignment="1">
      <alignment horizontal="center"/>
    </xf>
    <xf numFmtId="164" fontId="3" fillId="0" borderId="18" xfId="0" applyFont="1" applyBorder="1" applyAlignment="1">
      <alignment horizontal="center" wrapText="1"/>
    </xf>
    <xf numFmtId="0" fontId="3" fillId="0" borderId="25" xfId="12" applyFont="1" applyBorder="1" applyAlignment="1">
      <alignment horizontal="center" wrapText="1"/>
    </xf>
    <xf numFmtId="0" fontId="3" fillId="0" borderId="18" xfId="12" applyFont="1" applyBorder="1" applyAlignment="1">
      <alignment wrapText="1"/>
    </xf>
    <xf numFmtId="0" fontId="3" fillId="0" borderId="26" xfId="12" applyFont="1" applyBorder="1"/>
    <xf numFmtId="165" fontId="3" fillId="4" borderId="18" xfId="1" applyNumberFormat="1" applyFont="1" applyFill="1" applyBorder="1" applyAlignment="1"/>
    <xf numFmtId="165" fontId="3" fillId="4" borderId="18" xfId="1" applyNumberFormat="1" applyFont="1" applyFill="1" applyBorder="1" applyAlignment="1">
      <alignment horizontal="center"/>
    </xf>
    <xf numFmtId="165" fontId="3" fillId="0" borderId="18" xfId="1" applyNumberFormat="1" applyFont="1" applyFill="1" applyBorder="1" applyAlignment="1">
      <alignment horizontal="center"/>
    </xf>
    <xf numFmtId="165" fontId="3" fillId="4" borderId="18" xfId="1" applyNumberFormat="1" applyFont="1" applyFill="1" applyBorder="1" applyAlignment="1">
      <alignment horizontal="center"/>
    </xf>
    <xf numFmtId="165" fontId="3" fillId="0" borderId="0" xfId="1" applyNumberFormat="1" applyFont="1" applyAlignment="1">
      <alignment horizontal="left"/>
    </xf>
    <xf numFmtId="165" fontId="3" fillId="0" borderId="4" xfId="1" applyNumberFormat="1" applyFont="1" applyBorder="1" applyAlignment="1">
      <alignment horizontal="center"/>
    </xf>
    <xf numFmtId="0" fontId="3" fillId="0" borderId="0" xfId="12" applyFont="1" applyAlignment="1">
      <alignment horizontal="left"/>
    </xf>
    <xf numFmtId="0" fontId="3" fillId="0" borderId="0" xfId="12" applyFont="1" applyAlignment="1">
      <alignment horizontal="left" wrapText="1"/>
    </xf>
    <xf numFmtId="164" fontId="27" fillId="2" borderId="0" xfId="14" applyFont="1" applyFill="1" applyAlignment="1">
      <alignment horizontal="left" vertical="top" wrapText="1"/>
    </xf>
    <xf numFmtId="10" fontId="3" fillId="0" borderId="0" xfId="12" applyNumberFormat="1" applyFont="1"/>
    <xf numFmtId="164" fontId="5" fillId="0" borderId="0" xfId="0" applyFont="1" applyAlignment="1">
      <alignment horizontal="center"/>
    </xf>
    <xf numFmtId="164" fontId="16" fillId="0" borderId="0" xfId="0" applyFont="1"/>
    <xf numFmtId="164" fontId="3" fillId="0" borderId="0" xfId="0" applyFont="1" applyAlignment="1" applyProtection="1">
      <alignment horizontal="center"/>
      <protection locked="0"/>
    </xf>
    <xf numFmtId="164" fontId="6" fillId="0" borderId="0" xfId="0" applyFont="1" applyAlignment="1" applyProtection="1">
      <alignment horizontal="center"/>
      <protection locked="0"/>
    </xf>
    <xf numFmtId="164" fontId="5" fillId="0" borderId="0" xfId="0" applyFont="1" applyAlignment="1" applyProtection="1">
      <alignment horizontal="center"/>
      <protection locked="0"/>
    </xf>
    <xf numFmtId="164" fontId="0" fillId="0" borderId="0" xfId="0" applyAlignment="1">
      <alignment horizontal="center"/>
    </xf>
    <xf numFmtId="164" fontId="3" fillId="0" borderId="0" xfId="0" applyFont="1" applyProtection="1">
      <protection locked="0"/>
    </xf>
    <xf numFmtId="0" fontId="3" fillId="3" borderId="0" xfId="0" applyNumberFormat="1" applyFont="1" applyFill="1" applyAlignment="1" applyProtection="1">
      <alignment horizontal="center"/>
      <protection locked="0"/>
    </xf>
    <xf numFmtId="0" fontId="3" fillId="0" borderId="0" xfId="0" applyNumberFormat="1" applyFont="1" applyAlignment="1" applyProtection="1">
      <alignment horizontal="center"/>
      <protection locked="0"/>
    </xf>
    <xf numFmtId="164" fontId="3" fillId="0" borderId="36" xfId="0" applyFont="1" applyBorder="1" applyAlignment="1" applyProtection="1">
      <alignment horizontal="center" wrapText="1"/>
      <protection locked="0"/>
    </xf>
    <xf numFmtId="164" fontId="3" fillId="0" borderId="37" xfId="0" applyFont="1" applyBorder="1" applyAlignment="1" applyProtection="1">
      <alignment horizontal="center" wrapText="1"/>
      <protection locked="0"/>
    </xf>
    <xf numFmtId="164" fontId="3" fillId="0" borderId="37" xfId="0" applyFont="1" applyBorder="1" applyProtection="1">
      <protection locked="0"/>
    </xf>
    <xf numFmtId="173" fontId="3" fillId="3" borderId="38" xfId="0" applyNumberFormat="1" applyFont="1" applyFill="1" applyBorder="1" applyAlignment="1" applyProtection="1">
      <alignment horizontal="center"/>
      <protection locked="0"/>
    </xf>
    <xf numFmtId="164" fontId="5" fillId="0" borderId="0" xfId="0" applyFont="1" applyAlignment="1" applyProtection="1">
      <alignment horizontal="center"/>
      <protection locked="0"/>
    </xf>
    <xf numFmtId="164" fontId="3" fillId="0" borderId="0" xfId="0" applyFont="1" applyAlignment="1" applyProtection="1">
      <alignment horizontal="center"/>
      <protection locked="0"/>
    </xf>
    <xf numFmtId="165" fontId="3" fillId="0" borderId="0" xfId="0" applyNumberFormat="1" applyFont="1" applyProtection="1">
      <protection locked="0"/>
    </xf>
    <xf numFmtId="5" fontId="3" fillId="0" borderId="38" xfId="0" applyNumberFormat="1" applyFont="1" applyBorder="1" applyAlignment="1" applyProtection="1">
      <alignment horizontal="center"/>
      <protection locked="0"/>
    </xf>
    <xf numFmtId="165" fontId="3" fillId="0" borderId="1" xfId="0" applyNumberFormat="1" applyFont="1" applyBorder="1" applyProtection="1">
      <protection locked="0"/>
    </xf>
    <xf numFmtId="164" fontId="3" fillId="0" borderId="1" xfId="0" applyFont="1" applyBorder="1" applyAlignment="1" applyProtection="1">
      <alignment horizontal="center"/>
      <protection locked="0"/>
    </xf>
    <xf numFmtId="164" fontId="3" fillId="0" borderId="1" xfId="0" applyFont="1" applyBorder="1" applyProtection="1">
      <protection locked="0"/>
    </xf>
    <xf numFmtId="165" fontId="3" fillId="0" borderId="0" xfId="0" applyNumberFormat="1" applyFont="1" applyAlignment="1" applyProtection="1">
      <alignment horizontal="left"/>
      <protection locked="0"/>
    </xf>
    <xf numFmtId="0" fontId="5" fillId="0" borderId="0" xfId="0" applyNumberFormat="1" applyFont="1" applyAlignment="1" applyProtection="1">
      <alignment horizontal="left"/>
      <protection locked="0"/>
    </xf>
    <xf numFmtId="164" fontId="5" fillId="0" borderId="0" xfId="0" applyFont="1" applyAlignment="1" applyProtection="1">
      <alignment horizontal="center" wrapText="1"/>
      <protection locked="0"/>
    </xf>
    <xf numFmtId="165" fontId="5" fillId="0" borderId="0" xfId="0" applyNumberFormat="1" applyFont="1" applyAlignment="1" applyProtection="1">
      <alignment horizontal="center" wrapText="1"/>
      <protection locked="0"/>
    </xf>
    <xf numFmtId="165" fontId="5" fillId="0" borderId="0" xfId="0" applyNumberFormat="1" applyFont="1" applyAlignment="1" applyProtection="1">
      <alignment horizontal="center"/>
      <protection locked="0"/>
    </xf>
    <xf numFmtId="177" fontId="3" fillId="0" borderId="0" xfId="4" applyNumberFormat="1" applyFont="1" applyFill="1" applyProtection="1">
      <protection locked="0"/>
    </xf>
    <xf numFmtId="10" fontId="3" fillId="3" borderId="0" xfId="4" applyNumberFormat="1" applyFont="1" applyFill="1" applyProtection="1">
      <protection locked="0"/>
    </xf>
    <xf numFmtId="165" fontId="3" fillId="0" borderId="0" xfId="0" applyNumberFormat="1" applyFont="1" applyAlignment="1" applyProtection="1">
      <alignment horizontal="center"/>
      <protection locked="0"/>
    </xf>
    <xf numFmtId="164" fontId="11" fillId="0" borderId="0" xfId="0" applyFont="1" applyAlignment="1" applyProtection="1">
      <alignment horizontal="center"/>
      <protection locked="0"/>
    </xf>
    <xf numFmtId="164" fontId="3" fillId="3" borderId="0" xfId="0" applyFont="1" applyFill="1" applyProtection="1">
      <protection locked="0"/>
    </xf>
    <xf numFmtId="165" fontId="3" fillId="0" borderId="0" xfId="1" applyNumberFormat="1" applyFont="1" applyFill="1" applyProtection="1">
      <protection locked="0"/>
    </xf>
    <xf numFmtId="177" fontId="3" fillId="0" borderId="0" xfId="0" applyNumberFormat="1" applyFont="1" applyProtection="1">
      <protection locked="0"/>
    </xf>
    <xf numFmtId="165" fontId="3" fillId="0" borderId="3" xfId="1" applyNumberFormat="1" applyFont="1" applyFill="1" applyBorder="1" applyProtection="1">
      <protection locked="0"/>
    </xf>
    <xf numFmtId="165" fontId="5" fillId="0" borderId="0" xfId="1" applyNumberFormat="1" applyFont="1" applyFill="1" applyProtection="1">
      <protection locked="0"/>
    </xf>
    <xf numFmtId="165" fontId="5" fillId="0" borderId="0" xfId="1" applyNumberFormat="1" applyFont="1" applyFill="1" applyAlignment="1" applyProtection="1">
      <alignment horizontal="center"/>
      <protection locked="0"/>
    </xf>
    <xf numFmtId="164" fontId="11" fillId="0" borderId="0" xfId="0" applyFont="1" applyProtection="1">
      <protection locked="0"/>
    </xf>
    <xf numFmtId="165" fontId="5" fillId="0" borderId="0" xfId="0" applyNumberFormat="1" applyFont="1" applyProtection="1">
      <protection locked="0"/>
    </xf>
    <xf numFmtId="165" fontId="16" fillId="0" borderId="0" xfId="0" applyNumberFormat="1" applyFont="1" applyProtection="1">
      <protection locked="0"/>
    </xf>
    <xf numFmtId="165" fontId="0" fillId="0" borderId="0" xfId="0" applyNumberFormat="1"/>
    <xf numFmtId="179" fontId="3" fillId="0" borderId="0" xfId="3" applyNumberFormat="1" applyFont="1" applyFill="1"/>
    <xf numFmtId="177" fontId="3" fillId="0" borderId="0" xfId="0" applyNumberFormat="1" applyFont="1"/>
    <xf numFmtId="179" fontId="3" fillId="0" borderId="0" xfId="3" applyNumberFormat="1" applyFont="1"/>
    <xf numFmtId="179" fontId="3" fillId="0" borderId="0" xfId="0" applyNumberFormat="1" applyFont="1"/>
    <xf numFmtId="0" fontId="16" fillId="0" borderId="0" xfId="12" applyFont="1"/>
    <xf numFmtId="0" fontId="3" fillId="9" borderId="0" xfId="12" applyFont="1" applyFill="1" applyAlignment="1">
      <alignment horizontal="center"/>
    </xf>
    <xf numFmtId="0" fontId="16" fillId="0" borderId="0" xfId="12" applyFont="1" applyAlignment="1">
      <alignment horizontal="center"/>
    </xf>
    <xf numFmtId="0" fontId="32" fillId="0" borderId="0" xfId="12" applyFont="1"/>
    <xf numFmtId="0" fontId="3" fillId="0" borderId="3" xfId="12" applyFont="1" applyBorder="1" applyAlignment="1">
      <alignment horizontal="center"/>
    </xf>
    <xf numFmtId="0" fontId="3" fillId="0" borderId="3" xfId="12" applyFont="1" applyBorder="1"/>
    <xf numFmtId="0" fontId="16" fillId="0" borderId="3" xfId="12" applyFont="1" applyBorder="1"/>
    <xf numFmtId="0" fontId="3" fillId="0" borderId="3" xfId="12" applyFont="1" applyBorder="1" applyAlignment="1">
      <alignment horizontal="center" wrapText="1"/>
    </xf>
    <xf numFmtId="0" fontId="3" fillId="0" borderId="0" xfId="12" applyFont="1" applyAlignment="1">
      <alignment horizontal="right"/>
    </xf>
    <xf numFmtId="43" fontId="16" fillId="0" borderId="0" xfId="1" applyFont="1" applyFill="1"/>
    <xf numFmtId="37" fontId="3" fillId="0" borderId="0" xfId="12" applyNumberFormat="1" applyFont="1"/>
    <xf numFmtId="43" fontId="3" fillId="0" borderId="0" xfId="12" applyNumberFormat="1" applyFont="1"/>
    <xf numFmtId="9" fontId="3" fillId="0" borderId="0" xfId="12" applyNumberFormat="1" applyFont="1" applyAlignment="1">
      <alignment horizontal="left"/>
    </xf>
    <xf numFmtId="37" fontId="3" fillId="0" borderId="0" xfId="12" applyNumberFormat="1" applyFont="1" applyAlignment="1">
      <alignment horizontal="left"/>
    </xf>
    <xf numFmtId="0" fontId="3" fillId="0" borderId="3" xfId="12" applyFont="1" applyBorder="1" applyAlignment="1">
      <alignment horizontal="right" vertical="top"/>
    </xf>
    <xf numFmtId="0" fontId="3" fillId="0" borderId="3" xfId="12" applyFont="1" applyBorder="1" applyAlignment="1">
      <alignment horizontal="center" vertical="top" wrapText="1"/>
    </xf>
    <xf numFmtId="0" fontId="3" fillId="5" borderId="0" xfId="1" applyNumberFormat="1" applyFont="1" applyFill="1" applyAlignment="1">
      <alignment horizontal="center"/>
    </xf>
    <xf numFmtId="43" fontId="16" fillId="0" borderId="0" xfId="12" applyNumberFormat="1" applyFont="1"/>
    <xf numFmtId="165" fontId="16" fillId="0" borderId="0" xfId="12" applyNumberFormat="1" applyFont="1"/>
    <xf numFmtId="10" fontId="16" fillId="0" borderId="0" xfId="12" applyNumberFormat="1" applyFont="1"/>
    <xf numFmtId="43" fontId="16" fillId="0" borderId="0" xfId="1" applyFont="1" applyFill="1" applyAlignment="1"/>
    <xf numFmtId="10" fontId="3" fillId="0" borderId="0" xfId="4" applyNumberFormat="1" applyFont="1" applyFill="1"/>
    <xf numFmtId="165" fontId="16" fillId="0" borderId="0" xfId="1" applyNumberFormat="1" applyFont="1" applyFill="1"/>
    <xf numFmtId="165" fontId="16" fillId="5" borderId="0" xfId="1" applyNumberFormat="1" applyFont="1" applyFill="1"/>
    <xf numFmtId="41" fontId="3" fillId="0" borderId="0" xfId="12" applyNumberFormat="1" applyFont="1" applyAlignment="1">
      <alignment horizontal="center"/>
    </xf>
    <xf numFmtId="41" fontId="33" fillId="0" borderId="0" xfId="12" applyNumberFormat="1" applyFont="1" applyAlignment="1">
      <alignment horizontal="center"/>
    </xf>
    <xf numFmtId="0" fontId="5" fillId="0" borderId="0" xfId="12" applyFont="1" applyAlignment="1">
      <alignment horizontal="right"/>
    </xf>
    <xf numFmtId="0" fontId="3" fillId="3" borderId="39" xfId="12" applyFont="1" applyFill="1" applyBorder="1"/>
    <xf numFmtId="41" fontId="3" fillId="3" borderId="18" xfId="12" applyNumberFormat="1" applyFont="1" applyFill="1" applyBorder="1"/>
    <xf numFmtId="41" fontId="3" fillId="3" borderId="18" xfId="2" applyFont="1" applyFill="1" applyBorder="1"/>
    <xf numFmtId="0" fontId="3" fillId="3" borderId="40" xfId="12" applyFont="1" applyFill="1" applyBorder="1" applyAlignment="1">
      <alignment wrapText="1"/>
    </xf>
    <xf numFmtId="0" fontId="3" fillId="3" borderId="39" xfId="12" applyFont="1" applyFill="1" applyBorder="1" applyAlignment="1">
      <alignment wrapText="1"/>
    </xf>
    <xf numFmtId="0" fontId="3" fillId="3" borderId="18" xfId="12" applyFont="1" applyFill="1" applyBorder="1"/>
    <xf numFmtId="0" fontId="3" fillId="10" borderId="39" xfId="12" applyFont="1" applyFill="1" applyBorder="1" applyAlignment="1">
      <alignment wrapText="1"/>
    </xf>
    <xf numFmtId="41" fontId="3" fillId="10" borderId="18" xfId="12" applyNumberFormat="1" applyFont="1" applyFill="1" applyBorder="1"/>
    <xf numFmtId="0" fontId="3" fillId="10" borderId="40" xfId="12" applyFont="1" applyFill="1" applyBorder="1" applyAlignment="1">
      <alignment wrapText="1"/>
    </xf>
    <xf numFmtId="0" fontId="3" fillId="0" borderId="41" xfId="12" applyFont="1" applyBorder="1"/>
    <xf numFmtId="165" fontId="3" fillId="0" borderId="18" xfId="1" applyNumberFormat="1" applyFont="1" applyBorder="1"/>
    <xf numFmtId="37" fontId="3" fillId="0" borderId="40" xfId="12" applyNumberFormat="1" applyFont="1" applyBorder="1" applyAlignment="1">
      <alignment wrapText="1"/>
    </xf>
    <xf numFmtId="0" fontId="3" fillId="0" borderId="42" xfId="12" applyFont="1" applyBorder="1"/>
    <xf numFmtId="165" fontId="3" fillId="3" borderId="18" xfId="1" applyNumberFormat="1" applyFont="1" applyFill="1" applyBorder="1"/>
    <xf numFmtId="165" fontId="3" fillId="3" borderId="18" xfId="1" applyNumberFormat="1" applyFont="1" applyFill="1" applyBorder="1" applyAlignment="1">
      <alignment horizontal="right"/>
    </xf>
    <xf numFmtId="165" fontId="3" fillId="3" borderId="18" xfId="1" applyNumberFormat="1" applyFont="1" applyFill="1" applyBorder="1" applyAlignment="1">
      <alignment horizontal="center"/>
    </xf>
    <xf numFmtId="0" fontId="3" fillId="0" borderId="43" xfId="12" applyFont="1" applyBorder="1"/>
    <xf numFmtId="165" fontId="3" fillId="3" borderId="32" xfId="1" applyNumberFormat="1" applyFont="1" applyFill="1" applyBorder="1"/>
    <xf numFmtId="0" fontId="3" fillId="3" borderId="44" xfId="12" applyFont="1" applyFill="1" applyBorder="1" applyAlignment="1">
      <alignment wrapText="1"/>
    </xf>
    <xf numFmtId="0" fontId="3" fillId="0" borderId="45" xfId="12" applyFont="1" applyBorder="1"/>
    <xf numFmtId="165" fontId="3" fillId="0" borderId="46" xfId="1" applyNumberFormat="1" applyFont="1" applyFill="1" applyBorder="1"/>
    <xf numFmtId="0" fontId="3" fillId="0" borderId="47" xfId="12" applyFont="1" applyBorder="1" applyAlignment="1">
      <alignment wrapText="1"/>
    </xf>
    <xf numFmtId="37" fontId="3" fillId="0" borderId="0" xfId="12" applyNumberFormat="1" applyFont="1" applyAlignment="1">
      <alignment horizontal="center"/>
    </xf>
    <xf numFmtId="37" fontId="3" fillId="0" borderId="0" xfId="12" applyNumberFormat="1" applyFont="1" applyAlignment="1">
      <alignment wrapText="1"/>
    </xf>
    <xf numFmtId="0" fontId="3" fillId="0" borderId="0" xfId="12" applyFont="1" applyAlignment="1">
      <alignment wrapText="1"/>
    </xf>
    <xf numFmtId="0" fontId="3" fillId="0" borderId="0" xfId="12" applyFont="1" applyAlignment="1">
      <alignment wrapText="1"/>
    </xf>
    <xf numFmtId="37" fontId="3" fillId="3" borderId="41" xfId="12" applyNumberFormat="1" applyFont="1" applyFill="1" applyBorder="1" applyAlignment="1">
      <alignment horizontal="center"/>
    </xf>
    <xf numFmtId="37" fontId="3" fillId="3" borderId="18" xfId="12" applyNumberFormat="1" applyFont="1" applyFill="1" applyBorder="1"/>
    <xf numFmtId="0" fontId="3" fillId="3" borderId="41" xfId="12" applyFont="1" applyFill="1" applyBorder="1" applyAlignment="1">
      <alignment horizontal="center"/>
    </xf>
    <xf numFmtId="41" fontId="3" fillId="10" borderId="18" xfId="2" applyFont="1" applyFill="1" applyBorder="1"/>
    <xf numFmtId="0" fontId="3" fillId="0" borderId="39" xfId="12" applyFont="1" applyBorder="1"/>
    <xf numFmtId="0" fontId="3" fillId="0" borderId="48" xfId="12" applyFont="1" applyBorder="1"/>
    <xf numFmtId="0" fontId="3" fillId="3" borderId="39" xfId="15" applyFont="1" applyFill="1" applyBorder="1"/>
    <xf numFmtId="41" fontId="3" fillId="0" borderId="0" xfId="2" applyFont="1" applyFill="1" applyBorder="1"/>
    <xf numFmtId="0" fontId="3" fillId="0" borderId="49" xfId="12" applyFont="1" applyBorder="1"/>
    <xf numFmtId="165" fontId="3" fillId="3" borderId="32" xfId="1" applyNumberFormat="1" applyFont="1" applyFill="1" applyBorder="1" applyAlignment="1">
      <alignment horizontal="right"/>
    </xf>
    <xf numFmtId="165" fontId="3" fillId="0" borderId="46" xfId="1" applyNumberFormat="1" applyFont="1" applyFill="1" applyBorder="1" applyAlignment="1">
      <alignment horizontal="right"/>
    </xf>
    <xf numFmtId="165" fontId="3" fillId="0" borderId="0" xfId="12" applyNumberFormat="1" applyFont="1" applyAlignment="1">
      <alignment wrapText="1"/>
    </xf>
    <xf numFmtId="0" fontId="3" fillId="0" borderId="0" xfId="12" applyFont="1" applyAlignment="1">
      <alignment horizontal="centerContinuous"/>
    </xf>
    <xf numFmtId="0" fontId="16" fillId="0" borderId="3" xfId="12" applyFont="1" applyBorder="1" applyAlignment="1">
      <alignment horizontal="center" wrapText="1"/>
    </xf>
    <xf numFmtId="43" fontId="16" fillId="0" borderId="0" xfId="1" applyFont="1"/>
    <xf numFmtId="37" fontId="3" fillId="10" borderId="18" xfId="12" applyNumberFormat="1" applyFont="1" applyFill="1" applyBorder="1"/>
    <xf numFmtId="1" fontId="3" fillId="0" borderId="0" xfId="1" applyNumberFormat="1" applyFont="1" applyAlignment="1">
      <alignment horizontal="center"/>
    </xf>
    <xf numFmtId="1" fontId="3" fillId="5" borderId="0" xfId="1" applyNumberFormat="1" applyFont="1" applyFill="1" applyAlignment="1">
      <alignment horizontal="center"/>
    </xf>
    <xf numFmtId="165" fontId="16" fillId="0" borderId="0" xfId="1" applyNumberFormat="1" applyFont="1"/>
    <xf numFmtId="1" fontId="3" fillId="0" borderId="0" xfId="1" applyNumberFormat="1" applyFont="1" applyFill="1" applyAlignment="1">
      <alignment horizontal="center"/>
    </xf>
    <xf numFmtId="1" fontId="3" fillId="0" borderId="0" xfId="1" applyNumberFormat="1" applyFont="1"/>
    <xf numFmtId="1" fontId="3" fillId="0" borderId="0" xfId="1" applyNumberFormat="1" applyFont="1" applyFill="1" applyBorder="1"/>
    <xf numFmtId="0" fontId="34" fillId="0" borderId="0" xfId="12" applyFont="1" applyAlignment="1">
      <alignment horizontal="center"/>
    </xf>
    <xf numFmtId="0" fontId="34" fillId="0" borderId="0" xfId="12" applyFont="1"/>
    <xf numFmtId="165" fontId="34" fillId="0" borderId="0" xfId="12" applyNumberFormat="1" applyFont="1"/>
    <xf numFmtId="9" fontId="34" fillId="0" borderId="0" xfId="4" applyFont="1" applyFill="1" applyAlignment="1"/>
    <xf numFmtId="165" fontId="34" fillId="0" borderId="0" xfId="1" applyNumberFormat="1" applyFont="1" applyFill="1" applyAlignment="1"/>
    <xf numFmtId="0" fontId="34" fillId="0" borderId="0" xfId="12" applyFont="1" applyAlignment="1">
      <alignment horizontal="center"/>
    </xf>
    <xf numFmtId="0" fontId="34" fillId="0" borderId="0" xfId="12" applyFont="1" applyAlignment="1">
      <alignment horizontal="left"/>
    </xf>
    <xf numFmtId="0" fontId="34" fillId="0" borderId="6" xfId="12" applyFont="1" applyBorder="1" applyAlignment="1">
      <alignment horizontal="center"/>
    </xf>
    <xf numFmtId="0" fontId="34" fillId="0" borderId="7" xfId="12" applyFont="1" applyBorder="1" applyAlignment="1">
      <alignment horizontal="center"/>
    </xf>
    <xf numFmtId="0" fontId="34" fillId="0" borderId="8" xfId="12" applyFont="1" applyBorder="1" applyAlignment="1">
      <alignment horizontal="center"/>
    </xf>
    <xf numFmtId="0" fontId="34" fillId="0" borderId="9" xfId="12" applyFont="1" applyBorder="1" applyAlignment="1">
      <alignment horizontal="center"/>
    </xf>
    <xf numFmtId="0" fontId="34" fillId="11" borderId="0" xfId="12" applyFont="1" applyFill="1" applyAlignment="1">
      <alignment horizontal="center"/>
    </xf>
    <xf numFmtId="0" fontId="34" fillId="11" borderId="10" xfId="12" applyFont="1" applyFill="1" applyBorder="1" applyAlignment="1">
      <alignment horizontal="center"/>
    </xf>
    <xf numFmtId="0" fontId="34" fillId="0" borderId="3" xfId="12" applyFont="1" applyBorder="1" applyAlignment="1">
      <alignment horizontal="right" vertical="top"/>
    </xf>
    <xf numFmtId="0" fontId="34" fillId="0" borderId="3" xfId="12" applyFont="1" applyBorder="1" applyAlignment="1">
      <alignment horizontal="center" vertical="top" wrapText="1"/>
    </xf>
    <xf numFmtId="0" fontId="34" fillId="0" borderId="17" xfId="12" applyFont="1" applyBorder="1" applyAlignment="1">
      <alignment horizontal="center" vertical="top" wrapText="1"/>
    </xf>
    <xf numFmtId="0" fontId="34" fillId="0" borderId="11" xfId="12" applyFont="1" applyBorder="1" applyAlignment="1">
      <alignment horizontal="center" vertical="top" wrapText="1"/>
    </xf>
    <xf numFmtId="0" fontId="34" fillId="0" borderId="9" xfId="12" applyFont="1" applyBorder="1"/>
    <xf numFmtId="0" fontId="34" fillId="0" borderId="10" xfId="12" applyFont="1" applyBorder="1"/>
    <xf numFmtId="0" fontId="34" fillId="0" borderId="0" xfId="12" applyFont="1" applyAlignment="1">
      <alignment horizontal="right"/>
    </xf>
    <xf numFmtId="0" fontId="34" fillId="5" borderId="0" xfId="1" applyNumberFormat="1" applyFont="1" applyFill="1" applyAlignment="1">
      <alignment horizontal="center"/>
    </xf>
    <xf numFmtId="10" fontId="34" fillId="0" borderId="0" xfId="4" applyNumberFormat="1" applyFont="1" applyFill="1"/>
    <xf numFmtId="165" fontId="34" fillId="0" borderId="9" xfId="1" applyNumberFormat="1" applyFont="1" applyFill="1" applyBorder="1"/>
    <xf numFmtId="165" fontId="34" fillId="0" borderId="0" xfId="1" applyNumberFormat="1" applyFont="1" applyFill="1" applyBorder="1"/>
    <xf numFmtId="165" fontId="34" fillId="0" borderId="10" xfId="1" applyNumberFormat="1" applyFont="1" applyFill="1" applyBorder="1"/>
    <xf numFmtId="165" fontId="34" fillId="5" borderId="0" xfId="1" applyNumberFormat="1" applyFont="1" applyFill="1" applyBorder="1"/>
    <xf numFmtId="165" fontId="34" fillId="10" borderId="0" xfId="1" applyNumberFormat="1" applyFont="1" applyFill="1" applyBorder="1"/>
    <xf numFmtId="165" fontId="34" fillId="10" borderId="10" xfId="1" applyNumberFormat="1" applyFont="1" applyFill="1" applyBorder="1"/>
    <xf numFmtId="165" fontId="34" fillId="0" borderId="17" xfId="1" applyNumberFormat="1" applyFont="1" applyFill="1" applyBorder="1"/>
    <xf numFmtId="165" fontId="34" fillId="0" borderId="3" xfId="1" applyNumberFormat="1" applyFont="1" applyFill="1" applyBorder="1"/>
    <xf numFmtId="165" fontId="34" fillId="5" borderId="3" xfId="1" applyNumberFormat="1" applyFont="1" applyFill="1" applyBorder="1"/>
    <xf numFmtId="165" fontId="34" fillId="0" borderId="0" xfId="1" applyNumberFormat="1" applyFont="1" applyFill="1"/>
    <xf numFmtId="165" fontId="34" fillId="0" borderId="4" xfId="1" applyNumberFormat="1" applyFont="1" applyFill="1" applyBorder="1"/>
    <xf numFmtId="165" fontId="34" fillId="0" borderId="50" xfId="1" applyNumberFormat="1" applyFont="1" applyFill="1" applyBorder="1"/>
    <xf numFmtId="165" fontId="34" fillId="0" borderId="12" xfId="1" applyNumberFormat="1" applyFont="1" applyFill="1" applyBorder="1"/>
    <xf numFmtId="165" fontId="34" fillId="0" borderId="1" xfId="1" applyNumberFormat="1" applyFont="1" applyFill="1" applyBorder="1"/>
    <xf numFmtId="165" fontId="34" fillId="0" borderId="51" xfId="1" applyNumberFormat="1" applyFont="1" applyFill="1" applyBorder="1"/>
    <xf numFmtId="165" fontId="34" fillId="0" borderId="52" xfId="1" applyNumberFormat="1" applyFont="1" applyFill="1" applyBorder="1"/>
    <xf numFmtId="165" fontId="34" fillId="0" borderId="53" xfId="1" applyNumberFormat="1" applyFont="1" applyFill="1" applyBorder="1"/>
    <xf numFmtId="165" fontId="34" fillId="0" borderId="0" xfId="1" applyNumberFormat="1" applyFont="1"/>
    <xf numFmtId="0" fontId="35" fillId="0" borderId="0" xfId="12" applyFont="1"/>
    <xf numFmtId="41" fontId="34" fillId="0" borderId="0" xfId="12" applyNumberFormat="1" applyFont="1" applyAlignment="1">
      <alignment horizontal="center"/>
    </xf>
    <xf numFmtId="0" fontId="35" fillId="0" borderId="0" xfId="12" applyFont="1" applyAlignment="1">
      <alignment horizontal="right"/>
    </xf>
    <xf numFmtId="0" fontId="36" fillId="0" borderId="0" xfId="16" applyFont="1"/>
    <xf numFmtId="164" fontId="37" fillId="0" borderId="0" xfId="0" applyFont="1" applyAlignment="1">
      <alignment horizontal="center"/>
    </xf>
    <xf numFmtId="164" fontId="13" fillId="0" borderId="0" xfId="0" applyFont="1" applyAlignment="1">
      <alignment horizontal="center"/>
    </xf>
    <xf numFmtId="164" fontId="0" fillId="0" borderId="0" xfId="0" applyAlignment="1">
      <alignment horizontal="center"/>
    </xf>
    <xf numFmtId="0" fontId="38" fillId="0" borderId="0" xfId="16" applyFont="1" applyAlignment="1">
      <alignment horizontal="center"/>
    </xf>
    <xf numFmtId="49" fontId="38" fillId="0" borderId="0" xfId="16" applyNumberFormat="1" applyFont="1" applyAlignment="1">
      <alignment horizontal="center"/>
    </xf>
    <xf numFmtId="165" fontId="38" fillId="0" borderId="0" xfId="17" applyNumberFormat="1" applyFont="1" applyAlignment="1">
      <alignment horizontal="center"/>
    </xf>
    <xf numFmtId="10" fontId="38" fillId="0" borderId="0" xfId="18" applyNumberFormat="1" applyFont="1" applyAlignment="1">
      <alignment horizontal="center"/>
    </xf>
    <xf numFmtId="0" fontId="38" fillId="0" borderId="3" xfId="16" applyFont="1" applyBorder="1" applyAlignment="1">
      <alignment horizontal="center" wrapText="1"/>
    </xf>
    <xf numFmtId="0" fontId="38" fillId="0" borderId="0" xfId="16" applyFont="1" applyAlignment="1">
      <alignment horizontal="left" wrapText="1"/>
    </xf>
    <xf numFmtId="49" fontId="38" fillId="0" borderId="0" xfId="16" applyNumberFormat="1" applyFont="1" applyAlignment="1">
      <alignment horizontal="center" wrapText="1"/>
    </xf>
    <xf numFmtId="49" fontId="38" fillId="0" borderId="0" xfId="17" applyNumberFormat="1" applyFont="1" applyBorder="1" applyAlignment="1">
      <alignment horizontal="center" wrapText="1"/>
    </xf>
    <xf numFmtId="0" fontId="36" fillId="0" borderId="0" xfId="16" applyFont="1" applyAlignment="1">
      <alignment horizontal="center" wrapText="1"/>
    </xf>
    <xf numFmtId="0" fontId="38" fillId="0" borderId="3" xfId="16" applyFont="1" applyBorder="1" applyAlignment="1">
      <alignment horizontal="left" wrapText="1"/>
    </xf>
    <xf numFmtId="0" fontId="38" fillId="5" borderId="0" xfId="16" applyFont="1" applyFill="1" applyAlignment="1">
      <alignment horizontal="center" wrapText="1"/>
    </xf>
    <xf numFmtId="0" fontId="38" fillId="5" borderId="0" xfId="17" applyNumberFormat="1" applyFont="1" applyFill="1" applyBorder="1" applyAlignment="1">
      <alignment horizontal="center" wrapText="1"/>
    </xf>
    <xf numFmtId="49" fontId="36" fillId="5" borderId="54" xfId="17" applyNumberFormat="1" applyFont="1" applyFill="1" applyBorder="1" applyAlignment="1">
      <alignment horizontal="left"/>
    </xf>
    <xf numFmtId="165" fontId="36" fillId="5" borderId="54" xfId="17" applyNumberFormat="1" applyFont="1" applyFill="1" applyBorder="1"/>
    <xf numFmtId="165" fontId="36" fillId="0" borderId="55" xfId="17" applyNumberFormat="1" applyFont="1" applyBorder="1"/>
    <xf numFmtId="165" fontId="36" fillId="0" borderId="54" xfId="17" applyNumberFormat="1" applyFont="1" applyBorder="1"/>
    <xf numFmtId="10" fontId="36" fillId="5" borderId="54" xfId="18" applyNumberFormat="1" applyFont="1" applyFill="1" applyBorder="1"/>
    <xf numFmtId="0" fontId="36" fillId="0" borderId="54" xfId="16" applyFont="1" applyBorder="1"/>
    <xf numFmtId="165" fontId="36" fillId="0" borderId="54" xfId="16" applyNumberFormat="1" applyFont="1" applyBorder="1"/>
    <xf numFmtId="49" fontId="36" fillId="5" borderId="55" xfId="17" applyNumberFormat="1" applyFont="1" applyFill="1" applyBorder="1"/>
    <xf numFmtId="165" fontId="36" fillId="5" borderId="55" xfId="17" applyNumberFormat="1" applyFont="1" applyFill="1" applyBorder="1"/>
    <xf numFmtId="10" fontId="36" fillId="5" borderId="55" xfId="18" applyNumberFormat="1" applyFont="1" applyFill="1" applyBorder="1"/>
    <xf numFmtId="0" fontId="36" fillId="0" borderId="55" xfId="16" applyFont="1" applyBorder="1"/>
    <xf numFmtId="49" fontId="36" fillId="0" borderId="0" xfId="16" applyNumberFormat="1" applyFont="1"/>
    <xf numFmtId="165" fontId="36" fillId="0" borderId="0" xfId="17" applyNumberFormat="1" applyFont="1" applyBorder="1" applyAlignment="1"/>
    <xf numFmtId="165" fontId="36" fillId="0" borderId="56" xfId="17" applyNumberFormat="1" applyFont="1" applyBorder="1" applyAlignment="1">
      <alignment horizontal="right"/>
    </xf>
    <xf numFmtId="179" fontId="36" fillId="0" borderId="56" xfId="19" applyNumberFormat="1" applyFont="1" applyBorder="1" applyAlignment="1"/>
    <xf numFmtId="165" fontId="36" fillId="0" borderId="56" xfId="17" applyNumberFormat="1" applyFont="1" applyBorder="1" applyAlignment="1"/>
    <xf numFmtId="179" fontId="38" fillId="0" borderId="57" xfId="19" applyNumberFormat="1" applyFont="1" applyBorder="1" applyAlignment="1"/>
    <xf numFmtId="165" fontId="36" fillId="0" borderId="0" xfId="17" applyNumberFormat="1" applyFont="1"/>
    <xf numFmtId="10" fontId="36" fillId="0" borderId="0" xfId="18" applyNumberFormat="1" applyFont="1"/>
    <xf numFmtId="49" fontId="36" fillId="0" borderId="0" xfId="16" applyNumberFormat="1" applyFont="1" applyAlignment="1">
      <alignment horizontal="right"/>
    </xf>
    <xf numFmtId="49" fontId="36" fillId="0" borderId="0" xfId="16" applyNumberFormat="1" applyFont="1" applyAlignment="1">
      <alignment horizontal="left" vertical="top" wrapText="1"/>
    </xf>
    <xf numFmtId="49" fontId="36" fillId="0" borderId="0" xfId="17" applyNumberFormat="1" applyFont="1" applyAlignment="1">
      <alignment horizontal="right"/>
    </xf>
    <xf numFmtId="49" fontId="36" fillId="0" borderId="0" xfId="17" applyNumberFormat="1" applyFont="1" applyAlignment="1">
      <alignment horizontal="left" vertical="top" wrapText="1"/>
    </xf>
    <xf numFmtId="49" fontId="36" fillId="0" borderId="0" xfId="17" applyNumberFormat="1" applyFont="1" applyAlignment="1">
      <alignment vertical="top" wrapText="1"/>
    </xf>
    <xf numFmtId="49" fontId="36" fillId="0" borderId="0" xfId="17" applyNumberFormat="1" applyFont="1" applyAlignment="1">
      <alignment horizontal="left" vertical="top" wrapText="1"/>
    </xf>
    <xf numFmtId="49" fontId="36" fillId="0" borderId="0" xfId="16" applyNumberFormat="1" applyFont="1" applyAlignment="1">
      <alignment vertical="top" wrapText="1"/>
    </xf>
    <xf numFmtId="164" fontId="39" fillId="0" borderId="0" xfId="0" applyFont="1" applyAlignment="1">
      <alignment vertical="center"/>
    </xf>
    <xf numFmtId="0" fontId="40" fillId="0" borderId="0" xfId="16" applyFont="1"/>
    <xf numFmtId="164" fontId="6" fillId="0" borderId="0" xfId="0" applyFont="1" applyAlignment="1">
      <alignment horizontal="center"/>
    </xf>
    <xf numFmtId="0" fontId="41" fillId="0" borderId="0" xfId="16" applyFont="1" applyAlignment="1">
      <alignment horizontal="center"/>
    </xf>
    <xf numFmtId="165" fontId="41" fillId="0" borderId="0" xfId="17" applyNumberFormat="1" applyFont="1" applyAlignment="1">
      <alignment horizontal="center"/>
    </xf>
    <xf numFmtId="10" fontId="41" fillId="0" borderId="0" xfId="18" applyNumberFormat="1" applyFont="1" applyAlignment="1">
      <alignment horizontal="center"/>
    </xf>
    <xf numFmtId="0" fontId="41" fillId="0" borderId="0" xfId="16" applyFont="1" applyAlignment="1">
      <alignment horizontal="center" wrapText="1"/>
    </xf>
    <xf numFmtId="0" fontId="41" fillId="0" borderId="0" xfId="16" applyFont="1" applyAlignment="1">
      <alignment horizontal="center" wrapText="1"/>
    </xf>
    <xf numFmtId="49" fontId="41" fillId="0" borderId="0" xfId="16" applyNumberFormat="1" applyFont="1" applyAlignment="1">
      <alignment horizontal="center" wrapText="1"/>
    </xf>
    <xf numFmtId="49" fontId="41" fillId="0" borderId="0" xfId="17" applyNumberFormat="1" applyFont="1" applyBorder="1" applyAlignment="1">
      <alignment horizontal="center" wrapText="1"/>
    </xf>
    <xf numFmtId="0" fontId="40" fillId="0" borderId="0" xfId="16" applyFont="1" applyAlignment="1">
      <alignment horizontal="center" wrapText="1"/>
    </xf>
    <xf numFmtId="0" fontId="41" fillId="0" borderId="3" xfId="16" applyFont="1" applyBorder="1" applyAlignment="1">
      <alignment horizontal="center" wrapText="1"/>
    </xf>
    <xf numFmtId="0" fontId="41" fillId="0" borderId="3" xfId="16" applyFont="1" applyBorder="1" applyAlignment="1">
      <alignment horizontal="center" wrapText="1"/>
    </xf>
    <xf numFmtId="1" fontId="41" fillId="5" borderId="3" xfId="1" applyNumberFormat="1" applyFont="1" applyFill="1" applyBorder="1" applyAlignment="1">
      <alignment horizontal="center" wrapText="1"/>
    </xf>
    <xf numFmtId="0" fontId="40" fillId="0" borderId="54" xfId="16" applyFont="1" applyBorder="1"/>
    <xf numFmtId="0" fontId="40" fillId="5" borderId="55" xfId="16" applyFont="1" applyFill="1" applyBorder="1"/>
    <xf numFmtId="0" fontId="40" fillId="5" borderId="54" xfId="16" applyFont="1" applyFill="1" applyBorder="1"/>
    <xf numFmtId="14" fontId="40" fillId="5" borderId="54" xfId="16" applyNumberFormat="1" applyFont="1" applyFill="1" applyBorder="1"/>
    <xf numFmtId="0" fontId="40" fillId="5" borderId="55" xfId="16" applyFont="1" applyFill="1" applyBorder="1" applyAlignment="1">
      <alignment horizontal="right"/>
    </xf>
    <xf numFmtId="165" fontId="40" fillId="5" borderId="54" xfId="17" applyNumberFormat="1" applyFont="1" applyFill="1" applyBorder="1"/>
    <xf numFmtId="165" fontId="7" fillId="3" borderId="0" xfId="7" applyNumberFormat="1" applyFont="1" applyFill="1" applyBorder="1" applyAlignment="1"/>
    <xf numFmtId="165" fontId="40" fillId="0" borderId="54" xfId="17" applyNumberFormat="1" applyFont="1" applyBorder="1"/>
    <xf numFmtId="165" fontId="40" fillId="0" borderId="54" xfId="17" applyNumberFormat="1" applyFont="1" applyBorder="1" applyAlignment="1"/>
    <xf numFmtId="43" fontId="40" fillId="5" borderId="54" xfId="1" applyFont="1" applyFill="1" applyBorder="1"/>
    <xf numFmtId="165" fontId="40" fillId="0" borderId="54" xfId="16" applyNumberFormat="1" applyFont="1" applyBorder="1"/>
    <xf numFmtId="0" fontId="40" fillId="0" borderId="55" xfId="16" applyFont="1" applyBorder="1"/>
    <xf numFmtId="0" fontId="40" fillId="5" borderId="58" xfId="16" applyFont="1" applyFill="1" applyBorder="1"/>
    <xf numFmtId="165" fontId="40" fillId="5" borderId="55" xfId="17" applyNumberFormat="1" applyFont="1" applyFill="1" applyBorder="1"/>
    <xf numFmtId="165" fontId="40" fillId="0" borderId="55" xfId="17" applyNumberFormat="1" applyFont="1" applyBorder="1"/>
    <xf numFmtId="165" fontId="40" fillId="0" borderId="55" xfId="17" applyNumberFormat="1" applyFont="1" applyBorder="1" applyAlignment="1"/>
    <xf numFmtId="165" fontId="40" fillId="5" borderId="55" xfId="1" applyNumberFormat="1" applyFont="1" applyFill="1" applyBorder="1"/>
    <xf numFmtId="165" fontId="40" fillId="0" borderId="55" xfId="16" applyNumberFormat="1" applyFont="1" applyBorder="1"/>
    <xf numFmtId="165" fontId="40" fillId="5" borderId="55" xfId="17" applyNumberFormat="1" applyFont="1" applyFill="1" applyBorder="1" applyAlignment="1"/>
    <xf numFmtId="165" fontId="40" fillId="5" borderId="55" xfId="17" applyNumberFormat="1" applyFont="1" applyFill="1" applyBorder="1" applyAlignment="1">
      <alignment horizontal="center"/>
    </xf>
    <xf numFmtId="165" fontId="40" fillId="0" borderId="57" xfId="16" applyNumberFormat="1" applyFont="1" applyBorder="1"/>
    <xf numFmtId="165" fontId="40" fillId="0" borderId="0" xfId="17" applyNumberFormat="1" applyFont="1" applyAlignment="1"/>
    <xf numFmtId="165" fontId="40" fillId="0" borderId="0" xfId="17" applyNumberFormat="1" applyFont="1"/>
    <xf numFmtId="165" fontId="40" fillId="0" borderId="56" xfId="17" applyNumberFormat="1" applyFont="1" applyBorder="1" applyAlignment="1"/>
    <xf numFmtId="43" fontId="40" fillId="0" borderId="56" xfId="17" applyFont="1" applyBorder="1" applyAlignment="1">
      <alignment horizontal="right"/>
    </xf>
    <xf numFmtId="43" fontId="40" fillId="0" borderId="0" xfId="17" applyFont="1" applyBorder="1" applyAlignment="1"/>
    <xf numFmtId="179" fontId="40" fillId="0" borderId="0" xfId="19" applyNumberFormat="1" applyFont="1" applyBorder="1" applyAlignment="1"/>
    <xf numFmtId="0" fontId="40" fillId="0" borderId="0" xfId="16" applyFont="1" applyAlignment="1">
      <alignment horizontal="center"/>
    </xf>
    <xf numFmtId="10" fontId="40" fillId="0" borderId="0" xfId="18" applyNumberFormat="1" applyFont="1"/>
    <xf numFmtId="43" fontId="40" fillId="0" borderId="0" xfId="17" applyFont="1" applyAlignment="1">
      <alignment horizontal="right"/>
    </xf>
    <xf numFmtId="43" fontId="40" fillId="0" borderId="0" xfId="17" applyFont="1"/>
    <xf numFmtId="49" fontId="40" fillId="0" borderId="0" xfId="16" applyNumberFormat="1" applyFont="1"/>
    <xf numFmtId="49" fontId="40" fillId="0" borderId="0" xfId="16" applyNumberFormat="1" applyFont="1" applyAlignment="1">
      <alignment horizontal="right"/>
    </xf>
    <xf numFmtId="0" fontId="40" fillId="0" borderId="0" xfId="16" applyFont="1" applyAlignment="1">
      <alignment horizontal="left" vertical="top" wrapText="1"/>
    </xf>
    <xf numFmtId="49" fontId="40" fillId="0" borderId="0" xfId="16" applyNumberFormat="1" applyFont="1" applyAlignment="1">
      <alignment horizontal="right" vertical="top"/>
    </xf>
    <xf numFmtId="0" fontId="40" fillId="0" borderId="0" xfId="16" applyFont="1" applyAlignment="1">
      <alignment vertical="top"/>
    </xf>
    <xf numFmtId="0" fontId="40" fillId="0" borderId="0" xfId="16" applyFont="1" applyAlignment="1">
      <alignment vertical="top" wrapText="1"/>
    </xf>
    <xf numFmtId="0" fontId="40" fillId="0" borderId="0" xfId="16" applyFont="1" applyAlignment="1">
      <alignment horizontal="left" vertical="top"/>
    </xf>
    <xf numFmtId="0" fontId="40" fillId="0" borderId="0" xfId="16" applyFont="1" applyAlignment="1">
      <alignment horizontal="left" vertical="top" wrapText="1"/>
    </xf>
    <xf numFmtId="164" fontId="33" fillId="0" borderId="0" xfId="0" applyFont="1" applyProtection="1">
      <protection locked="0"/>
    </xf>
    <xf numFmtId="43" fontId="5" fillId="0" borderId="0" xfId="1" applyFont="1" applyFill="1"/>
    <xf numFmtId="49" fontId="3" fillId="0" borderId="0" xfId="1" applyNumberFormat="1" applyFont="1" applyFill="1"/>
    <xf numFmtId="10" fontId="3" fillId="0" borderId="0" xfId="4" applyNumberFormat="1" applyFont="1" applyFill="1" applyAlignment="1">
      <alignment horizontal="right"/>
    </xf>
    <xf numFmtId="10" fontId="0" fillId="0" borderId="0" xfId="4" applyNumberFormat="1" applyFont="1" applyAlignment="1"/>
    <xf numFmtId="49" fontId="3" fillId="0" borderId="0" xfId="1" applyNumberFormat="1" applyFont="1" applyAlignment="1"/>
    <xf numFmtId="10" fontId="3" fillId="0" borderId="0" xfId="4" applyNumberFormat="1" applyFont="1" applyAlignment="1"/>
    <xf numFmtId="2" fontId="3" fillId="0" borderId="0" xfId="0" applyNumberFormat="1" applyFont="1"/>
    <xf numFmtId="164" fontId="3" fillId="0" borderId="0" xfId="0" applyFont="1" applyAlignment="1">
      <alignment horizontal="left" vertical="center" wrapText="1"/>
    </xf>
    <xf numFmtId="49" fontId="40" fillId="0" borderId="0" xfId="16" applyNumberFormat="1" applyFont="1" applyAlignment="1">
      <alignment horizontal="center"/>
    </xf>
    <xf numFmtId="165" fontId="40" fillId="0" borderId="0" xfId="17" applyNumberFormat="1" applyFont="1" applyAlignment="1">
      <alignment horizontal="center"/>
    </xf>
    <xf numFmtId="10" fontId="40" fillId="0" borderId="0" xfId="18" applyNumberFormat="1" applyFont="1" applyAlignment="1">
      <alignment horizontal="center"/>
    </xf>
    <xf numFmtId="0" fontId="40" fillId="0" borderId="3" xfId="16" applyFont="1" applyBorder="1" applyAlignment="1">
      <alignment horizontal="center" wrapText="1"/>
    </xf>
    <xf numFmtId="0" fontId="40" fillId="0" borderId="0" xfId="16" applyFont="1" applyAlignment="1">
      <alignment horizontal="left" wrapText="1"/>
    </xf>
    <xf numFmtId="49" fontId="40" fillId="0" borderId="0" xfId="16" applyNumberFormat="1" applyFont="1" applyAlignment="1">
      <alignment horizontal="center" wrapText="1"/>
    </xf>
    <xf numFmtId="49" fontId="40" fillId="0" borderId="0" xfId="17" applyNumberFormat="1" applyFont="1" applyBorder="1" applyAlignment="1">
      <alignment horizontal="center" wrapText="1"/>
    </xf>
    <xf numFmtId="0" fontId="40" fillId="0" borderId="3" xfId="16" applyFont="1" applyBorder="1" applyAlignment="1">
      <alignment horizontal="left" wrapText="1"/>
    </xf>
    <xf numFmtId="1" fontId="40" fillId="5" borderId="0" xfId="16" applyNumberFormat="1" applyFont="1" applyFill="1" applyAlignment="1">
      <alignment horizontal="center" wrapText="1"/>
    </xf>
    <xf numFmtId="49" fontId="40" fillId="5" borderId="54" xfId="17" applyNumberFormat="1" applyFont="1" applyFill="1" applyBorder="1" applyAlignment="1">
      <alignment horizontal="left"/>
    </xf>
    <xf numFmtId="165" fontId="19" fillId="5" borderId="54" xfId="17" applyNumberFormat="1" applyFont="1" applyFill="1" applyBorder="1"/>
    <xf numFmtId="49" fontId="40" fillId="5" borderId="55" xfId="17" applyNumberFormat="1" applyFont="1" applyFill="1" applyBorder="1"/>
    <xf numFmtId="165" fontId="40" fillId="0" borderId="56" xfId="17" applyNumberFormat="1" applyFont="1" applyBorder="1"/>
    <xf numFmtId="165" fontId="40" fillId="5" borderId="56" xfId="17" applyNumberFormat="1" applyFont="1" applyFill="1" applyBorder="1"/>
    <xf numFmtId="165" fontId="40" fillId="0" borderId="4" xfId="17" applyNumberFormat="1" applyFont="1" applyBorder="1" applyAlignment="1">
      <alignment horizontal="right"/>
    </xf>
    <xf numFmtId="179" fontId="40" fillId="0" borderId="4" xfId="19" applyNumberFormat="1" applyFont="1" applyBorder="1" applyAlignment="1"/>
    <xf numFmtId="165" fontId="40" fillId="0" borderId="0" xfId="17" applyNumberFormat="1" applyFont="1" applyBorder="1" applyAlignment="1"/>
    <xf numFmtId="49" fontId="40" fillId="0" borderId="0" xfId="16" applyNumberFormat="1" applyFont="1" applyAlignment="1">
      <alignment vertical="top" wrapText="1"/>
    </xf>
    <xf numFmtId="49" fontId="40" fillId="0" borderId="0" xfId="16" applyNumberFormat="1" applyFont="1" applyAlignment="1">
      <alignment vertical="top"/>
    </xf>
    <xf numFmtId="49" fontId="40" fillId="0" borderId="0" xfId="17" applyNumberFormat="1" applyFont="1" applyAlignment="1">
      <alignment horizontal="right"/>
    </xf>
    <xf numFmtId="49" fontId="40" fillId="0" borderId="0" xfId="17" applyNumberFormat="1" applyFont="1" applyAlignment="1">
      <alignment horizontal="right" vertical="top" wrapText="1"/>
    </xf>
    <xf numFmtId="49" fontId="40" fillId="0" borderId="0" xfId="16" applyNumberFormat="1" applyFont="1" applyAlignment="1">
      <alignment horizontal="left" vertical="top" wrapText="1"/>
    </xf>
    <xf numFmtId="49" fontId="40" fillId="0" borderId="0" xfId="17" applyNumberFormat="1" applyFont="1" applyAlignment="1">
      <alignment vertical="top" wrapText="1"/>
    </xf>
    <xf numFmtId="0" fontId="36" fillId="0" borderId="0" xfId="16" applyFont="1" applyAlignment="1">
      <alignment horizontal="right"/>
    </xf>
    <xf numFmtId="0" fontId="40" fillId="0" borderId="0" xfId="16" applyFont="1" applyAlignment="1">
      <alignment horizontal="right"/>
    </xf>
    <xf numFmtId="0" fontId="41" fillId="0" borderId="3" xfId="16" applyFont="1" applyBorder="1" applyAlignment="1">
      <alignment wrapText="1"/>
    </xf>
    <xf numFmtId="0" fontId="41" fillId="5" borderId="0" xfId="17" applyNumberFormat="1" applyFont="1" applyFill="1" applyBorder="1" applyAlignment="1">
      <alignment horizontal="center" wrapText="1"/>
    </xf>
    <xf numFmtId="0" fontId="40" fillId="0" borderId="58" xfId="16" applyFont="1" applyBorder="1"/>
    <xf numFmtId="165" fontId="40" fillId="5" borderId="58" xfId="1" applyNumberFormat="1" applyFont="1" applyFill="1" applyBorder="1"/>
    <xf numFmtId="165" fontId="40" fillId="0" borderId="58" xfId="1" applyNumberFormat="1" applyFont="1" applyBorder="1" applyAlignment="1"/>
    <xf numFmtId="165" fontId="40" fillId="0" borderId="55" xfId="1" applyNumberFormat="1" applyFont="1" applyBorder="1"/>
    <xf numFmtId="165" fontId="40" fillId="0" borderId="55" xfId="1" applyNumberFormat="1" applyFont="1" applyBorder="1" applyAlignment="1"/>
    <xf numFmtId="166" fontId="40" fillId="5" borderId="55" xfId="1" applyNumberFormat="1" applyFont="1" applyFill="1" applyBorder="1"/>
    <xf numFmtId="165" fontId="40" fillId="0" borderId="58" xfId="1" applyNumberFormat="1" applyFont="1" applyBorder="1"/>
    <xf numFmtId="165" fontId="40" fillId="0" borderId="55" xfId="1" applyNumberFormat="1" applyFont="1" applyBorder="1" applyAlignment="1">
      <alignment horizontal="center"/>
    </xf>
    <xf numFmtId="9" fontId="40" fillId="5" borderId="55" xfId="4" applyFont="1" applyFill="1" applyBorder="1"/>
    <xf numFmtId="165" fontId="40" fillId="5" borderId="55" xfId="1" applyNumberFormat="1" applyFont="1" applyFill="1" applyBorder="1" applyAlignment="1"/>
    <xf numFmtId="178" fontId="40" fillId="0" borderId="55" xfId="1" applyNumberFormat="1" applyFont="1" applyBorder="1"/>
    <xf numFmtId="0" fontId="19" fillId="5" borderId="55" xfId="16" applyFont="1" applyFill="1" applyBorder="1" applyAlignment="1">
      <alignment horizontal="right"/>
    </xf>
    <xf numFmtId="165" fontId="40" fillId="0" borderId="58" xfId="17" applyNumberFormat="1" applyFont="1" applyBorder="1"/>
    <xf numFmtId="0" fontId="40" fillId="0" borderId="55" xfId="16" applyFont="1" applyBorder="1" applyAlignment="1">
      <alignment horizontal="center"/>
    </xf>
    <xf numFmtId="10" fontId="40" fillId="5" borderId="55" xfId="18" applyNumberFormat="1" applyFont="1" applyFill="1" applyBorder="1"/>
    <xf numFmtId="43" fontId="40" fillId="5" borderId="55" xfId="1" applyFont="1" applyFill="1" applyBorder="1" applyAlignment="1"/>
    <xf numFmtId="43" fontId="40" fillId="0" borderId="55" xfId="17" applyFont="1" applyBorder="1"/>
    <xf numFmtId="0" fontId="40" fillId="0" borderId="56" xfId="16" applyFont="1" applyBorder="1"/>
    <xf numFmtId="0" fontId="40" fillId="0" borderId="56" xfId="16" applyFont="1" applyBorder="1" applyAlignment="1">
      <alignment horizontal="center"/>
    </xf>
    <xf numFmtId="10" fontId="40" fillId="5" borderId="56" xfId="18" applyNumberFormat="1" applyFont="1" applyFill="1" applyBorder="1"/>
    <xf numFmtId="43" fontId="40" fillId="5" borderId="56" xfId="1" applyFont="1" applyFill="1" applyBorder="1" applyAlignment="1"/>
    <xf numFmtId="43" fontId="40" fillId="0" borderId="56" xfId="17" applyFont="1" applyBorder="1"/>
    <xf numFmtId="165" fontId="40" fillId="5" borderId="56" xfId="1" applyNumberFormat="1" applyFont="1" applyFill="1" applyBorder="1"/>
    <xf numFmtId="178" fontId="40" fillId="0" borderId="56" xfId="1" applyNumberFormat="1" applyFont="1" applyBorder="1"/>
    <xf numFmtId="165" fontId="40" fillId="5" borderId="56" xfId="16" applyNumberFormat="1" applyFont="1" applyFill="1" applyBorder="1" applyAlignment="1">
      <alignment horizontal="right"/>
    </xf>
    <xf numFmtId="165" fontId="40" fillId="0" borderId="56" xfId="16" applyNumberFormat="1" applyFont="1" applyBorder="1"/>
    <xf numFmtId="0" fontId="40" fillId="5" borderId="56" xfId="16" applyFont="1" applyFill="1" applyBorder="1" applyAlignment="1">
      <alignment horizontal="right"/>
    </xf>
    <xf numFmtId="165" fontId="40" fillId="0" borderId="4" xfId="17" applyNumberFormat="1" applyFont="1" applyBorder="1" applyAlignment="1">
      <alignment horizontal="right"/>
    </xf>
    <xf numFmtId="179" fontId="40" fillId="0" borderId="4" xfId="19" applyNumberFormat="1" applyFont="1" applyBorder="1"/>
    <xf numFmtId="165" fontId="40" fillId="0" borderId="0" xfId="16" applyNumberFormat="1" applyFont="1"/>
    <xf numFmtId="0" fontId="40" fillId="0" borderId="0" xfId="16" applyFont="1" applyAlignment="1">
      <alignment horizontal="left"/>
    </xf>
    <xf numFmtId="43" fontId="40" fillId="0" borderId="4" xfId="17" applyFont="1" applyBorder="1" applyAlignment="1"/>
    <xf numFmtId="43" fontId="40" fillId="0" borderId="0" xfId="16" applyNumberFormat="1" applyFont="1"/>
    <xf numFmtId="0" fontId="19" fillId="0" borderId="0" xfId="16" applyFont="1" applyAlignment="1">
      <alignment vertical="top"/>
    </xf>
    <xf numFmtId="49" fontId="40" fillId="0" borderId="0" xfId="16" applyNumberFormat="1" applyFont="1" applyAlignment="1">
      <alignment horizontal="right" vertical="top" wrapText="1"/>
    </xf>
    <xf numFmtId="165" fontId="40" fillId="0" borderId="0" xfId="16" applyNumberFormat="1" applyFont="1" applyAlignment="1">
      <alignment vertical="top" wrapText="1"/>
    </xf>
    <xf numFmtId="0" fontId="36" fillId="0" borderId="0" xfId="16" applyFont="1" applyAlignment="1">
      <alignment horizontal="center"/>
    </xf>
    <xf numFmtId="165" fontId="36" fillId="0" borderId="0" xfId="17" applyNumberFormat="1" applyFont="1" applyAlignment="1"/>
    <xf numFmtId="0" fontId="44" fillId="0" borderId="0" xfId="6" applyFont="1"/>
    <xf numFmtId="0" fontId="45" fillId="0" borderId="0" xfId="6" applyFont="1"/>
    <xf numFmtId="164" fontId="44" fillId="0" borderId="0" xfId="0" applyFont="1"/>
    <xf numFmtId="164" fontId="45" fillId="0" borderId="0" xfId="0" applyFont="1"/>
    <xf numFmtId="164" fontId="44" fillId="0" borderId="0" xfId="0" applyFont="1" applyAlignment="1">
      <alignment horizontal="center"/>
    </xf>
    <xf numFmtId="164" fontId="45" fillId="0" borderId="0" xfId="0" applyFont="1" applyAlignment="1">
      <alignment horizontal="left" vertical="center"/>
    </xf>
    <xf numFmtId="1" fontId="44" fillId="4" borderId="0" xfId="0" applyNumberFormat="1" applyFont="1" applyFill="1" applyAlignment="1">
      <alignment horizontal="center" vertical="center"/>
    </xf>
    <xf numFmtId="1" fontId="44" fillId="0" borderId="0" xfId="0" applyNumberFormat="1" applyFont="1" applyAlignment="1">
      <alignment horizontal="center" vertical="center"/>
    </xf>
    <xf numFmtId="0" fontId="44" fillId="0" borderId="0" xfId="0" applyNumberFormat="1" applyFont="1" applyAlignment="1">
      <alignment horizontal="center" vertical="center"/>
    </xf>
    <xf numFmtId="164" fontId="44" fillId="0" borderId="0" xfId="0" applyFont="1" applyAlignment="1">
      <alignment horizontal="center" vertical="center"/>
    </xf>
    <xf numFmtId="165" fontId="44" fillId="0" borderId="0" xfId="1" applyNumberFormat="1" applyFont="1" applyFill="1" applyAlignment="1">
      <alignment horizontal="center" vertical="center"/>
    </xf>
    <xf numFmtId="165" fontId="44" fillId="4" borderId="0" xfId="1" applyNumberFormat="1" applyFont="1" applyFill="1" applyAlignment="1"/>
    <xf numFmtId="164" fontId="44" fillId="4" borderId="0" xfId="0" applyFont="1" applyFill="1"/>
    <xf numFmtId="164" fontId="34" fillId="0" borderId="0" xfId="0" applyFont="1"/>
    <xf numFmtId="0" fontId="34" fillId="0" borderId="0" xfId="0" quotePrefix="1" applyNumberFormat="1" applyFont="1" applyAlignment="1">
      <alignment horizontal="center" vertical="top" wrapText="1"/>
    </xf>
    <xf numFmtId="164" fontId="34" fillId="0" borderId="0" xfId="0" applyFont="1" applyAlignment="1">
      <alignment horizontal="left" vertical="top" wrapText="1"/>
    </xf>
  </cellXfs>
  <cellStyles count="20">
    <cellStyle name="Comma" xfId="1" builtinId="3"/>
    <cellStyle name="Comma [0]" xfId="2" builtinId="6"/>
    <cellStyle name="Comma 2 2" xfId="7" xr:uid="{94D5994C-EC96-40FA-A1DC-925DCAC5D67B}"/>
    <cellStyle name="Comma 6" xfId="17" xr:uid="{486E577E-FC6F-4BE6-AA53-D65111EE7E9F}"/>
    <cellStyle name="Currency" xfId="3" builtinId="4"/>
    <cellStyle name="Currency 4" xfId="19" xr:uid="{7CB73509-E357-40D3-B422-53FE1DF0C98C}"/>
    <cellStyle name="Normal" xfId="0" builtinId="0"/>
    <cellStyle name="Normal 2" xfId="12" xr:uid="{EF4294E1-385F-41D9-9235-83CEADE55EAC}"/>
    <cellStyle name="Normal 3 2" xfId="6" xr:uid="{D641D99C-23D7-4D6B-98C5-6D426F27F335}"/>
    <cellStyle name="Normal 3_Attach O, GG, Support -New Method 2-14-11" xfId="11" xr:uid="{63B89218-C35E-40CF-8CBC-C0726196CB0B}"/>
    <cellStyle name="Normal 7" xfId="9" xr:uid="{0CEC9A2F-FC6D-44FF-9522-8D20CE0DAEE7}"/>
    <cellStyle name="Normal 8" xfId="16" xr:uid="{D102AC21-DEDF-48F5-A4D5-0ACBDF0F7065}"/>
    <cellStyle name="Normal_21 Exh B" xfId="5" xr:uid="{7641D343-FACB-4528-82B3-A167AD15BCBA}"/>
    <cellStyle name="Normal_AR workpaper --2002 Def Tax Exp by Account 8-14-02" xfId="15" xr:uid="{5EFE2345-1140-4CDC-8EEE-0F6CC2E2B1F3}"/>
    <cellStyle name="Normal_Attachment GG Template ER11-28 11-18-10" xfId="14" xr:uid="{2B91F040-5D56-4EBC-9130-29B0546C2BF8}"/>
    <cellStyle name="Normal_Attachment Os for 2002 True-up" xfId="10" xr:uid="{018A6CCE-EA0B-42B5-8390-5B50146D0816}"/>
    <cellStyle name="Normal_TrAILCo attach 6 &amp; 7 and Appendix A" xfId="13" xr:uid="{9750FA77-F419-4FBC-BBDD-556ADB95BE34}"/>
    <cellStyle name="Percent" xfId="4" builtinId="5"/>
    <cellStyle name="Percent 2 2" xfId="8" xr:uid="{6374998C-599E-4A9C-AD9C-DF0F392059FD}"/>
    <cellStyle name="Percent 5" xfId="18" xr:uid="{138601EF-5024-4D90-9C5B-9DDF5AA21E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customXml" Target="../customXml/item3.xml"/><Relationship Id="rId21" Type="http://schemas.openxmlformats.org/officeDocument/2006/relationships/externalLink" Target="externalLinks/externalLink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ula%20Rate%20Actual%20-%20Horizon%20West%20Transmission%20-%20Jan%201%202020%20-%20Dec%2031%202020%20-%20W%20Support.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mdryjanski\OneDrive%20-%20Gridliance\FERC%20Form%201%20-%202017\GWT\GWT%20P%20216%20Construction%20Work%20in%20Progress%20-%202017.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ariffs/2000/formula%20rates/NSP%20xcelcoss%20mis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F11379\2004%20Plan\Plan%20Pass%201\Presentation\TW%202003%20Q4%20Fcst_Sep%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L27COM11\Common\2010\2010%20Ops%20Reviews\21%20JUL%2010%20CEO%20Ops%20Review\21%20JUL%2010%20EMS%20Ops%20Review%20Financials%20v1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gridliance.sharepoint.com/Users/cchiang/AppData/Local/Packages/Microsoft.MicrosoftEdge_8wekyb3d8bbwe/TempState/Downloads/ER_JHooton_113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ax/Accruals/2010/2010&#173;_Tax%20Accruals.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Sheet"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cchiang\AppData\Local\Microsoft\Windows\INetCache\Content.Outlook\4NH7RGKG\CWIP%20in%20Rate%20Base%20for%20Mgmt%20Rptg%20201803%20v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gridliance.sharepoint.com/Users/mdryjanski/OneDrive%20-%20Gridliance/Tri-County%20Acquisition%20Documentation/2_Property_Unit_Catalog%2012-10-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l33-fs1\Shared\ING%20Finance\SHARED\MIMS_TAX\99%20fed%20tax\PCS\99%20MSPG%20Unica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III"/>
      <sheetName val="1 - Revenue Credits"/>
      <sheetName val="2 - Cost Support "/>
      <sheetName val="2a - Cost Support"/>
      <sheetName val="2b - Cost Support"/>
      <sheetName val="3 - Incentives"/>
      <sheetName val="4 - Cap Adds"/>
      <sheetName val="5 - True-Up"/>
      <sheetName val="6a-ADIT Projection"/>
      <sheetName val="6b-ADIT Projection Proration"/>
      <sheetName val="6c- ADIT BOY"/>
      <sheetName val="6d- ADIT EOY"/>
      <sheetName val="6e-ADIT True-up"/>
      <sheetName val="6f-ADIT True-up Proration"/>
      <sheetName val="7 - Unfunded Reserves"/>
      <sheetName val="8 - CWIP"/>
      <sheetName val="9- Depreciation Rates"/>
      <sheetName val="10 - Future Use"/>
      <sheetName val="11 - Reg. Assets and Abnd Plnt"/>
      <sheetName val="12 - Income Tax Adjustment"/>
      <sheetName val="NA Tabs"/>
      <sheetName val="Inputs"/>
      <sheetName val="Check"/>
      <sheetName val="TAX_Prorated ADIT - 2021"/>
      <sheetName val="Tax_Forecasted ADIT"/>
      <sheetName val="Fed &amp; State Deferreds 6302020"/>
      <sheetName val="Tax_Tax Depreciation"/>
      <sheetName val="2020 check"/>
      <sheetName val="tab 5 support"/>
      <sheetName val="Reg asset"/>
      <sheetName val="PPE Support"/>
      <sheetName val="Debt Eq Support"/>
      <sheetName val="GAAP BS R12"/>
      <sheetName val="FF1 BS Assets"/>
      <sheetName val="FF1 BS Liab"/>
      <sheetName val="FF1 IS"/>
      <sheetName val="O&amp;MA&amp;G 320-323"/>
      <sheetName val="Depr 336-337"/>
      <sheetName val="Taxes 262-263"/>
      <sheetName val="Att 2 Support 204-207"/>
      <sheetName val="Att 2 - Internal"/>
      <sheetName val="Internal GAAP BS"/>
      <sheetName val="Common Equity"/>
      <sheetName val="Accum Depr 219"/>
      <sheetName val="Page 216"/>
      <sheetName val="TU interest r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216"/>
      <sheetName val="Consolidated CWIP"/>
      <sheetName val="G2.1-4 Proj 2225 CWIP 201712"/>
      <sheetName val="G2.1-5 CWIP TS"/>
      <sheetName val="WOTable"/>
    </sheetNames>
    <sheetDataSet>
      <sheetData sheetId="0"/>
      <sheetData sheetId="1"/>
      <sheetData sheetId="2"/>
      <sheetData sheetId="3"/>
      <sheetData sheetId="4">
        <row r="2">
          <cell r="A2" t="str">
            <v>WO #</v>
          </cell>
          <cell r="B2" t="str">
            <v>Project</v>
          </cell>
          <cell r="C2" t="str">
            <v>WO Title</v>
          </cell>
          <cell r="D2" t="str">
            <v>FP Nbr</v>
          </cell>
          <cell r="E2" t="str">
            <v>Comments</v>
          </cell>
        </row>
        <row r="3">
          <cell r="A3" t="str">
            <v>100</v>
          </cell>
          <cell r="B3" t="str">
            <v>Financial Systems</v>
          </cell>
          <cell r="C3" t="str">
            <v>PeopleSoft Financial SW Ph I</v>
          </cell>
          <cell r="D3">
            <v>2016000001</v>
          </cell>
        </row>
        <row r="4">
          <cell r="A4" t="str">
            <v>200</v>
          </cell>
          <cell r="B4" t="str">
            <v>Financial Systems</v>
          </cell>
          <cell r="C4" t="str">
            <v>PowerPlan Financial SW Ph I</v>
          </cell>
          <cell r="D4">
            <v>2016000001</v>
          </cell>
        </row>
        <row r="5">
          <cell r="A5" t="str">
            <v>300</v>
          </cell>
          <cell r="B5" t="str">
            <v>Network Equip</v>
          </cell>
          <cell r="C5" t="str">
            <v>Network Equipment Purch 2Q16</v>
          </cell>
          <cell r="D5">
            <v>2016000002</v>
          </cell>
        </row>
        <row r="6">
          <cell r="A6" t="str">
            <v>400</v>
          </cell>
          <cell r="B6" t="str">
            <v>Tri-County Expansion - Phase I</v>
          </cell>
          <cell r="C6" t="str">
            <v>Tri-County 115KV Trans Fclty Eng</v>
          </cell>
          <cell r="D6">
            <v>2016000006</v>
          </cell>
        </row>
        <row r="7">
          <cell r="A7" t="str">
            <v>500</v>
          </cell>
          <cell r="B7" t="str">
            <v>Chicago Office Buildout</v>
          </cell>
          <cell r="C7" t="str">
            <v>Chgo Office - Leasehold Improvement</v>
          </cell>
          <cell r="D7">
            <v>2016000003</v>
          </cell>
        </row>
        <row r="8">
          <cell r="A8" t="str">
            <v>100010</v>
          </cell>
          <cell r="B8" t="str">
            <v>Tri-County Expansion - Phase I</v>
          </cell>
          <cell r="C8" t="str">
            <v>Rcndctr Powell Corner to Hovey Line 69 kV to 115 kV</v>
          </cell>
          <cell r="D8">
            <v>2016000006</v>
          </cell>
        </row>
        <row r="9">
          <cell r="A9" t="str">
            <v>100011</v>
          </cell>
          <cell r="B9" t="str">
            <v>Tri-County Expansion - Phase I</v>
          </cell>
          <cell r="C9" t="str">
            <v>Powell Corner Substation Expansion</v>
          </cell>
          <cell r="D9">
            <v>2016000006</v>
          </cell>
        </row>
        <row r="10">
          <cell r="A10" t="str">
            <v>100012</v>
          </cell>
          <cell r="B10" t="str">
            <v>Tri-County Expansion - Phase I</v>
          </cell>
          <cell r="C10" t="str">
            <v>Hovey Substation  Expansion</v>
          </cell>
          <cell r="D10">
            <v>2016000006</v>
          </cell>
        </row>
        <row r="11">
          <cell r="A11" t="str">
            <v>100027</v>
          </cell>
          <cell r="B11" t="str">
            <v>Tri-County Expansion - Phase I</v>
          </cell>
          <cell r="C11" t="str">
            <v>Hooker-Jefferson Sub - Brkr Add</v>
          </cell>
          <cell r="D11">
            <v>2016000006</v>
          </cell>
        </row>
        <row r="12">
          <cell r="A12">
            <v>100033</v>
          </cell>
          <cell r="B12" t="str">
            <v>Network Equip</v>
          </cell>
          <cell r="C12" t="str">
            <v>Purchase Polycom Phone System</v>
          </cell>
          <cell r="D12">
            <v>2016000002</v>
          </cell>
        </row>
        <row r="13">
          <cell r="A13" t="str">
            <v>100001</v>
          </cell>
          <cell r="B13" t="str">
            <v>KC Office Buildout</v>
          </cell>
          <cell r="C13" t="str">
            <v>Kansas City, MO Office Buildout</v>
          </cell>
          <cell r="D13">
            <v>2016000004</v>
          </cell>
        </row>
        <row r="14">
          <cell r="A14" t="str">
            <v>100002</v>
          </cell>
          <cell r="B14" t="str">
            <v>TCEC Misc WOs</v>
          </cell>
          <cell r="C14" t="str">
            <v>GridLiance Storm Work Order fr</v>
          </cell>
          <cell r="D14">
            <v>2016000005</v>
          </cell>
        </row>
        <row r="15">
          <cell r="A15" t="str">
            <v>100003</v>
          </cell>
          <cell r="B15" t="str">
            <v>TCEC Misc WOs</v>
          </cell>
          <cell r="C15" t="str">
            <v>GridLiance Pole 925211-Burnt XArm</v>
          </cell>
          <cell r="D15">
            <v>2016000005</v>
          </cell>
        </row>
        <row r="16">
          <cell r="A16" t="str">
            <v>100004</v>
          </cell>
          <cell r="B16" t="str">
            <v>TCEC Misc WOs</v>
          </cell>
          <cell r="C16" t="str">
            <v>Rpl XArms wPost Type Insulator</v>
          </cell>
          <cell r="D16">
            <v>2016000005</v>
          </cell>
        </row>
        <row r="17">
          <cell r="A17" t="str">
            <v>100005</v>
          </cell>
          <cell r="B17" t="str">
            <v>TCEC Misc WOs</v>
          </cell>
          <cell r="C17" t="str">
            <v>Chnge Out XArm Pole 113359</v>
          </cell>
          <cell r="D17">
            <v>2016000005</v>
          </cell>
        </row>
        <row r="18">
          <cell r="A18" t="str">
            <v>100006</v>
          </cell>
          <cell r="B18" t="str">
            <v>TCEC Misc WOs</v>
          </cell>
          <cell r="C18" t="str">
            <v>Chnge Out 26' Timber on T-Pole</v>
          </cell>
          <cell r="D18">
            <v>2016000005</v>
          </cell>
        </row>
        <row r="19">
          <cell r="A19" t="str">
            <v>100007</v>
          </cell>
          <cell r="B19" t="str">
            <v>Network Equip</v>
          </cell>
          <cell r="C19" t="str">
            <v>75" Monitor &amp; Equip - Board Room</v>
          </cell>
          <cell r="D19">
            <v>2016000003</v>
          </cell>
        </row>
        <row r="20">
          <cell r="A20" t="str">
            <v>100008</v>
          </cell>
          <cell r="B20" t="str">
            <v>TCEC Misc WOs</v>
          </cell>
          <cell r="C20" t="str">
            <v>Rpl Burnt Up Switch Jmpr-Elkhart</v>
          </cell>
          <cell r="D20">
            <v>2016000005</v>
          </cell>
        </row>
        <row r="21">
          <cell r="A21" t="str">
            <v>100009</v>
          </cell>
          <cell r="B21" t="str">
            <v>Tri-County Lobo Line</v>
          </cell>
          <cell r="C21" t="str">
            <v>115 kV Line Tap to TCEC Lobo Sub</v>
          </cell>
          <cell r="D21">
            <v>2016000007</v>
          </cell>
        </row>
        <row r="22">
          <cell r="A22" t="str">
            <v>100013</v>
          </cell>
          <cell r="B22" t="str">
            <v>Network Equip</v>
          </cell>
          <cell r="C22" t="str">
            <v>Network Equipment Purchases 3Q16</v>
          </cell>
          <cell r="D22">
            <v>2016000002</v>
          </cell>
        </row>
        <row r="23">
          <cell r="A23" t="str">
            <v>100014</v>
          </cell>
          <cell r="B23" t="str">
            <v>Network Equip</v>
          </cell>
          <cell r="C23" t="str">
            <v>Network Equipment Purchases 4Q16</v>
          </cell>
          <cell r="D23">
            <v>2016000002</v>
          </cell>
        </row>
        <row r="24">
          <cell r="A24" t="str">
            <v>100016</v>
          </cell>
          <cell r="B24" t="str">
            <v>Operations Software</v>
          </cell>
          <cell r="C24" t="str">
            <v>PSS®E Software Purchase</v>
          </cell>
          <cell r="D24">
            <v>2016000008</v>
          </cell>
        </row>
        <row r="25">
          <cell r="A25" t="str">
            <v>100017</v>
          </cell>
          <cell r="B25" t="str">
            <v>Financial Systems</v>
          </cell>
          <cell r="C25" t="str">
            <v>PeopleSoft - Phase II</v>
          </cell>
          <cell r="D25">
            <v>2016000009</v>
          </cell>
        </row>
        <row r="26">
          <cell r="A26" t="str">
            <v>100018</v>
          </cell>
          <cell r="B26" t="str">
            <v>TCEC Misc WOs</v>
          </cell>
          <cell r="C26" t="str">
            <v>POLE CHANGEOUT - ACCIDENT</v>
          </cell>
          <cell r="D26">
            <v>2016000005</v>
          </cell>
        </row>
        <row r="27">
          <cell r="A27" t="str">
            <v>100019</v>
          </cell>
          <cell r="B27" t="str">
            <v>Other Software</v>
          </cell>
          <cell r="C27" t="str">
            <v>GridLiance Website</v>
          </cell>
          <cell r="D27">
            <v>2016000010</v>
          </cell>
        </row>
        <row r="28">
          <cell r="A28" t="str">
            <v>100021</v>
          </cell>
          <cell r="B28" t="str">
            <v>Austin Office Buildout</v>
          </cell>
          <cell r="C28" t="str">
            <v>Austin, TX Office Build Out</v>
          </cell>
          <cell r="D28">
            <v>2016000011</v>
          </cell>
        </row>
        <row r="29">
          <cell r="A29" t="str">
            <v>100022</v>
          </cell>
          <cell r="B29" t="str">
            <v>TCEC Misc WOs</v>
          </cell>
          <cell r="C29" t="str">
            <v>Crossarm changeout Line ID Y2.7</v>
          </cell>
          <cell r="D29">
            <v>2016000005</v>
          </cell>
        </row>
        <row r="30">
          <cell r="A30" t="str">
            <v>100024</v>
          </cell>
          <cell r="B30" t="str">
            <v>TCEC Misc WOs</v>
          </cell>
          <cell r="C30" t="str">
            <v>Y5-Y5.1 Change framing on T-Pole</v>
          </cell>
          <cell r="D30">
            <v>2016000005</v>
          </cell>
        </row>
        <row r="31">
          <cell r="A31" t="str">
            <v>100025</v>
          </cell>
          <cell r="B31" t="str">
            <v>TCEC Misc WOs</v>
          </cell>
          <cell r="C31" t="str">
            <v>Y5-Y5-Change out x-arm on pole</v>
          </cell>
          <cell r="D31">
            <v>2016000005</v>
          </cell>
        </row>
        <row r="32">
          <cell r="A32" t="str">
            <v>100026</v>
          </cell>
          <cell r="B32" t="str">
            <v>TCEC Misc WOs</v>
          </cell>
          <cell r="C32" t="str">
            <v>Y3.2  - C/O Poletop on 5 Trans Pole</v>
          </cell>
          <cell r="D32">
            <v>2016000005</v>
          </cell>
        </row>
        <row r="33">
          <cell r="A33" t="str">
            <v>100028</v>
          </cell>
          <cell r="B33" t="str">
            <v>TCEC Misc WOs</v>
          </cell>
          <cell r="C33" t="str">
            <v>RPL Insulator on GOAB</v>
          </cell>
          <cell r="D33">
            <v>2016000012</v>
          </cell>
        </row>
        <row r="34">
          <cell r="A34" t="str">
            <v>100029</v>
          </cell>
          <cell r="B34" t="str">
            <v>TCEC Misc WOs</v>
          </cell>
          <cell r="C34" t="str">
            <v>RPL A/C Unit Cole Sub</v>
          </cell>
          <cell r="D34">
            <v>2016000005</v>
          </cell>
        </row>
        <row r="35">
          <cell r="A35" t="str">
            <v>100030</v>
          </cell>
          <cell r="B35" t="str">
            <v>TCEC Misc WOs</v>
          </cell>
          <cell r="C35" t="str">
            <v>C/O 5 Arms and 2 full structur</v>
          </cell>
          <cell r="D35">
            <v>2016000005</v>
          </cell>
        </row>
        <row r="36">
          <cell r="A36" t="str">
            <v>100031</v>
          </cell>
          <cell r="B36" t="str">
            <v>TCEC Misc WOs</v>
          </cell>
          <cell r="C36" t="str">
            <v>C/O 1 3-Pole &amp; 2 1-Pole Struct</v>
          </cell>
          <cell r="D36">
            <v>2016000005</v>
          </cell>
        </row>
        <row r="37">
          <cell r="A37" t="str">
            <v>100032</v>
          </cell>
          <cell r="B37" t="str">
            <v>Tri-County Texas Cnty</v>
          </cell>
          <cell r="C37" t="str">
            <v>2-OCB C/O w/2-SF6 Brks -Texas Cnty</v>
          </cell>
          <cell r="D37">
            <v>2016000005</v>
          </cell>
        </row>
        <row r="38">
          <cell r="A38" t="str">
            <v>100033</v>
          </cell>
          <cell r="B38" t="str">
            <v xml:space="preserve"> Network Equip 2016</v>
          </cell>
          <cell r="C38" t="str">
            <v>Purchase Polycom Phone System</v>
          </cell>
          <cell r="D38">
            <v>2016000002</v>
          </cell>
        </row>
        <row r="39">
          <cell r="A39" t="str">
            <v>100034</v>
          </cell>
          <cell r="B39" t="str">
            <v>Bob Tap Line Project</v>
          </cell>
          <cell r="C39" t="str">
            <v xml:space="preserve">VEA Bob Tap Line Project </v>
          </cell>
          <cell r="D39" t="str">
            <v>Not Active</v>
          </cell>
          <cell r="E39" t="str">
            <v>Not Active</v>
          </cell>
        </row>
        <row r="40">
          <cell r="A40" t="str">
            <v>100035</v>
          </cell>
          <cell r="B40" t="str">
            <v xml:space="preserve"> Network Equip 2017</v>
          </cell>
          <cell r="C40" t="str">
            <v>Network Equipment 1Q17</v>
          </cell>
          <cell r="D40">
            <v>2017000002</v>
          </cell>
        </row>
        <row r="41">
          <cell r="A41" t="str">
            <v>100036</v>
          </cell>
          <cell r="B41" t="str">
            <v>Tri-County T-Line Misc TCEC WOs</v>
          </cell>
          <cell r="C41" t="str">
            <v>Rpl 2 Ductile Poles TCEC WO16413</v>
          </cell>
          <cell r="D41">
            <v>2016000005</v>
          </cell>
        </row>
        <row r="42">
          <cell r="A42" t="str">
            <v>100037</v>
          </cell>
          <cell r="B42" t="str">
            <v>Nevada West Connect Project</v>
          </cell>
          <cell r="C42" t="str">
            <v>VEA Nevada West Connect Project</v>
          </cell>
          <cell r="D42" t="str">
            <v>Not Active</v>
          </cell>
          <cell r="E42" t="str">
            <v>Not Active</v>
          </cell>
        </row>
        <row r="43">
          <cell r="A43" t="str">
            <v>100038</v>
          </cell>
          <cell r="B43" t="str">
            <v xml:space="preserve"> PSS®E Software Purchase</v>
          </cell>
          <cell r="C43" t="str">
            <v>PSS®E Software Purchase - Add-On</v>
          </cell>
          <cell r="D43">
            <v>2016000008</v>
          </cell>
        </row>
        <row r="44">
          <cell r="A44" t="str">
            <v>100039</v>
          </cell>
          <cell r="B44" t="str">
            <v>Tri-County Expansion Phase II</v>
          </cell>
          <cell r="C44" t="str">
            <v>Tri-County Exp Ph II - PM &amp; Plng</v>
          </cell>
          <cell r="D44">
            <v>2017000001</v>
          </cell>
        </row>
        <row r="45">
          <cell r="A45" t="str">
            <v>100040</v>
          </cell>
          <cell r="B45" t="str">
            <v>Tri-County T-Line Misc TCEC WOs</v>
          </cell>
          <cell r="C45" t="str">
            <v>Pole Change Out TCEC WO 16413</v>
          </cell>
          <cell r="D45">
            <v>2016000005</v>
          </cell>
        </row>
        <row r="46">
          <cell r="A46" t="str">
            <v>100041</v>
          </cell>
          <cell r="B46" t="str">
            <v>Tri-County Substations Misc TCEC WO</v>
          </cell>
          <cell r="C46" t="str">
            <v>Install AIRPORT LIGHTS - Hooker Sub</v>
          </cell>
          <cell r="D46">
            <v>2016000012</v>
          </cell>
        </row>
        <row r="47">
          <cell r="A47" t="str">
            <v>100042</v>
          </cell>
          <cell r="B47" t="str">
            <v>Tri-County T-Line Misc TCEC WOs</v>
          </cell>
          <cell r="C47" t="str">
            <v>Rpl CrssArm&amp;Insltr wPostType Insltr</v>
          </cell>
          <cell r="D47">
            <v>2016000005</v>
          </cell>
        </row>
        <row r="48">
          <cell r="A48" t="str">
            <v>100043</v>
          </cell>
          <cell r="B48" t="str">
            <v>Miscellaneous Off Furn &amp; Equip</v>
          </cell>
          <cell r="C48" t="str">
            <v>Purch Refrigerator for Chgo Office</v>
          </cell>
          <cell r="D48">
            <v>2017000003</v>
          </cell>
        </row>
        <row r="49">
          <cell r="A49" t="str">
            <v>100044</v>
          </cell>
          <cell r="B49" t="str">
            <v>Tri-County T-Line Misc TCEC WOs</v>
          </cell>
          <cell r="C49" t="str">
            <v>Rpl Timbers 110831 TCEC WO 16404</v>
          </cell>
          <cell r="D49">
            <v>2016000005</v>
          </cell>
        </row>
        <row r="50">
          <cell r="A50" t="str">
            <v>100045</v>
          </cell>
          <cell r="B50" t="str">
            <v>Tri-County T-Line Misc TCEC WOs</v>
          </cell>
          <cell r="C50" t="str">
            <v>Rpl Crssarm/Insltrs TCEC WO 170013</v>
          </cell>
          <cell r="D50">
            <v>2016000005</v>
          </cell>
        </row>
        <row r="51">
          <cell r="A51" t="str">
            <v>100046</v>
          </cell>
          <cell r="B51" t="str">
            <v>Ice Storm Jupiter TLine Rpl</v>
          </cell>
          <cell r="C51" t="str">
            <v>Rpl Crssarm/Insltrs TCEC WO 170055</v>
          </cell>
          <cell r="D51">
            <v>2017000004</v>
          </cell>
        </row>
        <row r="52">
          <cell r="A52" t="str">
            <v>100047</v>
          </cell>
          <cell r="B52" t="str">
            <v>Tri-County T-Line Misc TCEC WOs</v>
          </cell>
          <cell r="C52" t="str">
            <v>Misc Rpl CrossArms TCEC WO 16415</v>
          </cell>
          <cell r="D52">
            <v>2016000005</v>
          </cell>
        </row>
        <row r="53">
          <cell r="A53" t="str">
            <v>100048</v>
          </cell>
          <cell r="B53" t="str">
            <v>Network Equip 2017</v>
          </cell>
          <cell r="C53" t="str">
            <v>Network Equipment 2Q17 - Cancelled</v>
          </cell>
          <cell r="D53" t="str">
            <v>Cancelled</v>
          </cell>
          <cell r="E53" t="str">
            <v>Cancelled</v>
          </cell>
        </row>
        <row r="54">
          <cell r="A54" t="str">
            <v>100049</v>
          </cell>
          <cell r="B54" t="str">
            <v>Network Equip 2017</v>
          </cell>
          <cell r="C54" t="str">
            <v>Network Equipment 2Q17</v>
          </cell>
          <cell r="D54">
            <v>2017000002</v>
          </cell>
        </row>
        <row r="55">
          <cell r="A55" t="str">
            <v>100050</v>
          </cell>
          <cell r="B55" t="str">
            <v>Miscellaneous Off Furn &amp; Equip</v>
          </cell>
          <cell r="C55" t="str">
            <v>Misc Office Equipment</v>
          </cell>
          <cell r="D55">
            <v>2017000003</v>
          </cell>
        </row>
        <row r="56">
          <cell r="A56" t="str">
            <v>100051</v>
          </cell>
          <cell r="B56" t="str">
            <v>Purch &amp; Install 2-110 MVA XFRMs</v>
          </cell>
          <cell r="C56" t="str">
            <v>Hovey Substation Transformer</v>
          </cell>
          <cell r="D56">
            <v>2017000006</v>
          </cell>
        </row>
        <row r="57">
          <cell r="A57" t="str">
            <v>100052</v>
          </cell>
          <cell r="B57" t="str">
            <v>Purch &amp; Install 2-110 MVA XFRMs</v>
          </cell>
          <cell r="C57" t="str">
            <v>Cole Substation Transformer</v>
          </cell>
          <cell r="D57">
            <v>2017000006</v>
          </cell>
        </row>
        <row r="58">
          <cell r="A58" t="str">
            <v>100053</v>
          </cell>
          <cell r="B58" t="str">
            <v>Tri-County Expansion Phase II</v>
          </cell>
          <cell r="C58" t="str">
            <v>Y Road 115 kV Switching Station</v>
          </cell>
          <cell r="D58">
            <v>2017000001</v>
          </cell>
        </row>
        <row r="59">
          <cell r="A59" t="str">
            <v>100054</v>
          </cell>
          <cell r="B59" t="str">
            <v>Tri-County Expansion Phase II</v>
          </cell>
          <cell r="C59" t="str">
            <v>Enel Goodwell Wind-Red Dvl 115 kV L</v>
          </cell>
          <cell r="D59">
            <v>2017000001</v>
          </cell>
        </row>
        <row r="60">
          <cell r="A60" t="str">
            <v>100055</v>
          </cell>
          <cell r="B60" t="str">
            <v>Tri-County Expansion Phase II</v>
          </cell>
          <cell r="C60" t="str">
            <v>Enel Goodwell Wind 115 kV SW Sta.</v>
          </cell>
          <cell r="D60">
            <v>2017000001</v>
          </cell>
        </row>
        <row r="61">
          <cell r="A61" t="str">
            <v>100056</v>
          </cell>
          <cell r="B61" t="str">
            <v>Tri-County Expansion Phase II</v>
          </cell>
          <cell r="C61" t="str">
            <v>Red Devil 115 kV Station Expansion</v>
          </cell>
          <cell r="D61">
            <v>2017000001</v>
          </cell>
        </row>
        <row r="62">
          <cell r="A62" t="str">
            <v>100057</v>
          </cell>
          <cell r="B62" t="str">
            <v>Tri-County Expansion Phase II</v>
          </cell>
          <cell r="C62" t="str">
            <v>Y Road - Goodwell 115 kV Line</v>
          </cell>
          <cell r="D62">
            <v>2017000001</v>
          </cell>
        </row>
        <row r="63">
          <cell r="A63" t="str">
            <v>100058</v>
          </cell>
          <cell r="B63" t="str">
            <v>Tri-County Expansion Phase II</v>
          </cell>
          <cell r="C63" t="str">
            <v xml:space="preserve">Goodwell-Red Devil 115 kV Line </v>
          </cell>
          <cell r="D63">
            <v>2017000001</v>
          </cell>
        </row>
        <row r="64">
          <cell r="A64" t="str">
            <v>100059</v>
          </cell>
          <cell r="B64" t="str">
            <v>Tri-County Expansion Phase II</v>
          </cell>
          <cell r="C64" t="str">
            <v>Texas County - Y Road  115 kV Line</v>
          </cell>
          <cell r="D64">
            <v>2017000001</v>
          </cell>
        </row>
        <row r="65">
          <cell r="A65" t="str">
            <v>100060</v>
          </cell>
          <cell r="B65" t="str">
            <v>Tri-County Substations Misc TCEC WO</v>
          </cell>
          <cell r="C65" t="str">
            <v>Snake Protect-Doolin TCEC WO 16071</v>
          </cell>
          <cell r="D65">
            <v>2016000012</v>
          </cell>
        </row>
        <row r="66">
          <cell r="A66" t="str">
            <v>100061</v>
          </cell>
          <cell r="B66" t="str">
            <v>Tri-County T-Line Misc TCEC WOs</v>
          </cell>
          <cell r="C66" t="str">
            <v>Rpl 4 Pole Tops TCEC WO 16425</v>
          </cell>
          <cell r="D66">
            <v>2016000005</v>
          </cell>
        </row>
        <row r="67">
          <cell r="A67" t="str">
            <v>100062</v>
          </cell>
          <cell r="B67" t="str">
            <v>Bob 230 kV TLines - SW Project</v>
          </cell>
          <cell r="C67" t="str">
            <v xml:space="preserve">Bob 230 kV TLines-SW - PM-Plng-Eng </v>
          </cell>
          <cell r="D67">
            <v>2017000007</v>
          </cell>
        </row>
        <row r="68">
          <cell r="A68" t="str">
            <v>100063</v>
          </cell>
          <cell r="B68" t="str">
            <v>Tri-County Substations Misc TCEC WO</v>
          </cell>
          <cell r="C68" t="str">
            <v>C/O 3-69KV ARRESTORS-TCEC WO 170473</v>
          </cell>
          <cell r="D68">
            <v>2016000012</v>
          </cell>
        </row>
        <row r="69">
          <cell r="A69" t="str">
            <v>100064</v>
          </cell>
          <cell r="B69" t="str">
            <v>Bob 230 kV TLines - SW Project</v>
          </cell>
          <cell r="C69" t="str">
            <v>Bob 230 Construct Switchyard</v>
          </cell>
          <cell r="D69">
            <v>2017000007</v>
          </cell>
        </row>
        <row r="70">
          <cell r="A70" t="str">
            <v>100065</v>
          </cell>
          <cell r="B70" t="str">
            <v>Bob 230 kV TLines - SW Project</v>
          </cell>
          <cell r="C70" t="str">
            <v>Bob 230-Eldorado Interconnect Fees</v>
          </cell>
          <cell r="D70">
            <v>2017000007</v>
          </cell>
        </row>
        <row r="71">
          <cell r="A71" t="str">
            <v>100066</v>
          </cell>
          <cell r="B71" t="str">
            <v>Bob 230 kV TLines - SW Project</v>
          </cell>
          <cell r="C71" t="str">
            <v xml:space="preserve">Bob 230 SW to Eldorado Sub T-Line </v>
          </cell>
          <cell r="D71">
            <v>2017000007</v>
          </cell>
        </row>
        <row r="72">
          <cell r="A72" t="str">
            <v>100067</v>
          </cell>
          <cell r="B72" t="str">
            <v>Bob 230 kV TLines - SW Project</v>
          </cell>
          <cell r="C72" t="str">
            <v>Bob 230 Switchyard Access Road</v>
          </cell>
          <cell r="D72">
            <v>2017000007</v>
          </cell>
        </row>
        <row r="73">
          <cell r="A73" t="str">
            <v>100068</v>
          </cell>
          <cell r="B73" t="str">
            <v>Bob 230 kV TLines - SW Project</v>
          </cell>
          <cell r="C73" t="str">
            <v>Bob 230 1 1/2 Mile 10" Water Line</v>
          </cell>
          <cell r="D73">
            <v>2017000007</v>
          </cell>
        </row>
        <row r="74">
          <cell r="A74" t="str">
            <v>100069</v>
          </cell>
          <cell r="B74" t="str">
            <v>Bob 230 kV TLines - SW Project</v>
          </cell>
          <cell r="C74" t="str">
            <v>Bob 230 - OPGW OH Addition</v>
          </cell>
          <cell r="D74">
            <v>2017000007</v>
          </cell>
        </row>
        <row r="75">
          <cell r="A75" t="str">
            <v>100070</v>
          </cell>
          <cell r="B75" t="str">
            <v>April 2017 Wind Storm</v>
          </cell>
          <cell r="C75" t="str">
            <v>MAY 27 STORM Rplmnts-TCEC WO 170573</v>
          </cell>
          <cell r="D75">
            <v>2017000005</v>
          </cell>
        </row>
        <row r="76">
          <cell r="A76" t="str">
            <v>100071</v>
          </cell>
          <cell r="B76" t="str">
            <v>Dallas Office Build-Out</v>
          </cell>
          <cell r="C76" t="str">
            <v>Dallas Office Build-Out</v>
          </cell>
          <cell r="D76">
            <v>2017000008</v>
          </cell>
        </row>
        <row r="77">
          <cell r="A77" t="str">
            <v>100072</v>
          </cell>
          <cell r="B77" t="str">
            <v>SCMCN - Misc Transmission Line Proj</v>
          </cell>
          <cell r="C77" t="str">
            <v>Install Anti Galloping Devices</v>
          </cell>
          <cell r="D77">
            <v>2017000009</v>
          </cell>
        </row>
        <row r="78">
          <cell r="A78" t="str">
            <v>100073</v>
          </cell>
          <cell r="B78" t="str">
            <v>Tri-County T-Line Misc TCEC WOs</v>
          </cell>
          <cell r="C78" t="str">
            <v>Rpl 331' 2/0 ACSR-TCEC WO 170711</v>
          </cell>
          <cell r="D78">
            <v>2016000005</v>
          </cell>
        </row>
        <row r="79">
          <cell r="A79" t="str">
            <v>100074</v>
          </cell>
          <cell r="B79" t="str">
            <v>April 2017 Wind Storm</v>
          </cell>
          <cell r="C79" t="str">
            <v>STORM-Thompson-Keyes-TCEC WO 170494</v>
          </cell>
          <cell r="D79">
            <v>2017000005</v>
          </cell>
        </row>
        <row r="80">
          <cell r="A80" t="str">
            <v>100075</v>
          </cell>
          <cell r="B80" t="str">
            <v>April 2017 Wind Storm</v>
          </cell>
          <cell r="C80" t="str">
            <v>STORM-Thompson-Thrash-TCEC WO170495</v>
          </cell>
          <cell r="D80">
            <v>2017000005</v>
          </cell>
        </row>
        <row r="81">
          <cell r="A81" t="str">
            <v>100076</v>
          </cell>
          <cell r="B81" t="str">
            <v>Tri-County T-Line Misc TCEC WOs</v>
          </cell>
          <cell r="C81" t="str">
            <v>C/O Timbers - TCEC WO 170648</v>
          </cell>
          <cell r="D81">
            <v>2016000005</v>
          </cell>
        </row>
        <row r="82">
          <cell r="A82" t="str">
            <v>100077</v>
          </cell>
          <cell r="B82" t="str">
            <v>Bob 230 kV TLines - SW Project</v>
          </cell>
          <cell r="C82" t="str">
            <v>Bob 230 - UG Fiber Addition</v>
          </cell>
          <cell r="D82">
            <v>2017000007</v>
          </cell>
        </row>
        <row r="83">
          <cell r="A83" t="str">
            <v>100078</v>
          </cell>
          <cell r="B83" t="str">
            <v>VEA - Acquisition CWIP - Transmissi</v>
          </cell>
          <cell r="C83" t="str">
            <v>230- MEAD-PAH STRCTR-VEA WO 2014121</v>
          </cell>
          <cell r="D83">
            <v>2017000011</v>
          </cell>
        </row>
        <row r="84">
          <cell r="A84" t="str">
            <v>100079</v>
          </cell>
          <cell r="B84" t="str">
            <v>VEA - Acquisition CWIP - Substation</v>
          </cell>
          <cell r="C84" t="str">
            <v>PahSub TapChngrXFRM#3-VEA WO2016410</v>
          </cell>
          <cell r="D84">
            <v>2017000012</v>
          </cell>
        </row>
        <row r="85">
          <cell r="A85" t="str">
            <v>100080</v>
          </cell>
          <cell r="B85" t="str">
            <v>VEA - Acquisition CWIP - Transmissi</v>
          </cell>
          <cell r="C85" t="str">
            <v>VEA PAH-VISTA T-LINE LANDS/EASEMENT</v>
          </cell>
          <cell r="D85">
            <v>2017000011</v>
          </cell>
        </row>
        <row r="86">
          <cell r="A86" t="str">
            <v>100081</v>
          </cell>
          <cell r="B86" t="str">
            <v>SCMCN GIA w/ States Edge Wind I</v>
          </cell>
          <cell r="C86" t="str">
            <v>GIA - Bld 115 kV line Powell Crnr</v>
          </cell>
          <cell r="D86">
            <v>2017000010</v>
          </cell>
        </row>
        <row r="87">
          <cell r="A87" t="str">
            <v>100082</v>
          </cell>
          <cell r="B87" t="str">
            <v>Tri-County T-Line Misc TCEC WOs</v>
          </cell>
          <cell r="C87" t="str">
            <v>Tmbr Rpl W/Stndff's TCEC WO 170801</v>
          </cell>
          <cell r="D87">
            <v>2016000005</v>
          </cell>
        </row>
        <row r="88">
          <cell r="A88" t="str">
            <v>100083</v>
          </cell>
          <cell r="B88" t="str">
            <v>Tri-County T-Line Misc TCEC WOs</v>
          </cell>
          <cell r="C88" t="str">
            <v>CO Braces&amp;CrossArms TCEC WO 170823</v>
          </cell>
          <cell r="D88">
            <v>2016000005</v>
          </cell>
        </row>
        <row r="89">
          <cell r="A89" t="str">
            <v>100084</v>
          </cell>
          <cell r="B89" t="str">
            <v>Tri-County T-Line Misc TCEC WOs</v>
          </cell>
          <cell r="C89" t="str">
            <v>Pole C/O 3 Poles TCEC WO 170771</v>
          </cell>
          <cell r="D89">
            <v>2016000005</v>
          </cell>
        </row>
        <row r="90">
          <cell r="A90" t="str">
            <v>100085</v>
          </cell>
          <cell r="B90" t="str">
            <v>Tri-County T-Line Misc TCEC WOs</v>
          </cell>
          <cell r="C90" t="str">
            <v>PCO Cole E Circuit TCEC WO 170475</v>
          </cell>
          <cell r="D90">
            <v>2016000005</v>
          </cell>
        </row>
        <row r="91">
          <cell r="A91" t="str">
            <v>100086</v>
          </cell>
          <cell r="B91" t="str">
            <v>Network Equip 2017</v>
          </cell>
          <cell r="C91" t="str">
            <v>Network Equipment 4Q17</v>
          </cell>
          <cell r="D91">
            <v>2017000002</v>
          </cell>
        </row>
        <row r="92">
          <cell r="A92" t="str">
            <v>100087</v>
          </cell>
          <cell r="B92" t="str">
            <v>Tri-County T-Line Misc TCEC WOs</v>
          </cell>
          <cell r="C92" t="str">
            <v>C/O Pole# 38732 TCEC WO 170383</v>
          </cell>
          <cell r="D92">
            <v>2016000005</v>
          </cell>
        </row>
        <row r="93">
          <cell r="A93" t="str">
            <v>100088</v>
          </cell>
          <cell r="B93" t="str">
            <v>Tri-County Expansion - Phase I</v>
          </cell>
          <cell r="C93" t="str">
            <v>Add'l Hovey Sub Station Foundations</v>
          </cell>
          <cell r="D93">
            <v>2016000006</v>
          </cell>
        </row>
        <row r="94">
          <cell r="A94" t="str">
            <v>100089</v>
          </cell>
          <cell r="B94" t="str">
            <v>Tri-County T-Line Misc TCEC WOs</v>
          </cell>
          <cell r="C94" t="str">
            <v>X-Arm C/O  Crct 4360 TCEC WO 170883</v>
          </cell>
          <cell r="D94">
            <v>2016000005</v>
          </cell>
        </row>
        <row r="95">
          <cell r="A95" t="str">
            <v>100090</v>
          </cell>
          <cell r="B95" t="str">
            <v>Tri-County Substations Misc TCEC WO</v>
          </cell>
          <cell r="C95" t="str">
            <v>Rpl A/C BOURK CntlHS TCEC WO 170780</v>
          </cell>
          <cell r="D95">
            <v>2016000012</v>
          </cell>
        </row>
        <row r="96">
          <cell r="A96" t="str">
            <v>100091</v>
          </cell>
          <cell r="B96" t="str">
            <v>PSS®E Software Purchase</v>
          </cell>
          <cell r="C96" t="str">
            <v>PSS®E Software - 6th &amp; 7th License</v>
          </cell>
          <cell r="D96">
            <v>2016000008</v>
          </cell>
        </row>
        <row r="97">
          <cell r="A97" t="str">
            <v>100092</v>
          </cell>
          <cell r="B97" t="str">
            <v>Tri-County Expansion - Phase I</v>
          </cell>
          <cell r="C97" t="str">
            <v>Hovey Sub-Removal of Box Structure</v>
          </cell>
          <cell r="D97">
            <v>2016000006</v>
          </cell>
        </row>
        <row r="98">
          <cell r="A98" t="str">
            <v>100093</v>
          </cell>
          <cell r="B98" t="str">
            <v>Purch &amp; Install 2-110 MVA XFRMs</v>
          </cell>
          <cell r="C98" t="str">
            <v>Cole XFMR</v>
          </cell>
          <cell r="D98">
            <v>2017000006</v>
          </cell>
        </row>
        <row r="99">
          <cell r="A99" t="str">
            <v>100094</v>
          </cell>
          <cell r="B99" t="str">
            <v>GWT - CAISO ARES Nevada Project</v>
          </cell>
          <cell r="C99" t="str">
            <v>GWT- CAISO ARES SW &amp; TLine- PM-Plng</v>
          </cell>
          <cell r="D99">
            <v>2018000001</v>
          </cell>
        </row>
        <row r="100">
          <cell r="A100" t="str">
            <v>100095</v>
          </cell>
          <cell r="B100" t="str">
            <v>Tri-County T-Line Misc TCEC WOs</v>
          </cell>
          <cell r="C100" t="str">
            <v>C/O 3-Pole Struct Outside Hovey Tap</v>
          </cell>
          <cell r="D100">
            <v>2016000005</v>
          </cell>
        </row>
        <row r="101">
          <cell r="A101" t="str">
            <v>100096</v>
          </cell>
          <cell r="B101" t="str">
            <v>Tri-County T-Line Misc TCEC WOs</v>
          </cell>
          <cell r="C101" t="str">
            <v xml:space="preserve">Pole Change Out </v>
          </cell>
          <cell r="D101">
            <v>2016000005</v>
          </cell>
        </row>
        <row r="102">
          <cell r="A102" t="str">
            <v>100097</v>
          </cell>
          <cell r="B102" t="str">
            <v>Tri-County T-Line Misc TCEC WOs</v>
          </cell>
          <cell r="C102" t="str">
            <v>OPTIMA 69kV MAINT -RPL 6 Insulators</v>
          </cell>
          <cell r="D102">
            <v>2016000005</v>
          </cell>
        </row>
        <row r="103">
          <cell r="A103" t="str">
            <v>100098</v>
          </cell>
          <cell r="B103" t="str">
            <v>Ice Storm Jupiter TLine Rpl</v>
          </cell>
          <cell r="C103" t="str">
            <v>SNOW STORM-Turpin to Beard Pole Rpl</v>
          </cell>
          <cell r="D103">
            <v>2017000004</v>
          </cell>
        </row>
        <row r="104">
          <cell r="A104" t="str">
            <v>100099</v>
          </cell>
          <cell r="B104" t="str">
            <v>Network Equipment 2018</v>
          </cell>
          <cell r="C104" t="str">
            <v>Network Equipment 1Q18</v>
          </cell>
        </row>
        <row r="105">
          <cell r="A105" t="str">
            <v>100100</v>
          </cell>
          <cell r="C105" t="str">
            <v>Pole RPL Hovey-Jefferson 69kV line</v>
          </cell>
        </row>
        <row r="106">
          <cell r="A106" t="str">
            <v>100101</v>
          </cell>
          <cell r="B106" t="str">
            <v>SCMCN Inventory Equipment</v>
          </cell>
          <cell r="C106" t="str">
            <v>Purch Conex Box - Inventory Storage</v>
          </cell>
        </row>
        <row r="107">
          <cell r="A107" t="str">
            <v>100102</v>
          </cell>
          <cell r="B107" t="str">
            <v>TCEC WACS Loop #2 Project</v>
          </cell>
          <cell r="C107" t="str">
            <v>TCEC WACS Loop #2 Project</v>
          </cell>
        </row>
        <row r="109">
          <cell r="A109" t="str">
            <v>End of File</v>
          </cell>
          <cell r="B109" t="str">
            <v>Insert New Items Above</v>
          </cell>
          <cell r="C109" t="str">
            <v>Insert New Items Above</v>
          </cell>
          <cell r="D109" t="str">
            <v>EndofFile</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4 Bridge fm Q3 Fcst"/>
      <sheetName val="Q4 Bridge fm prelim pass"/>
      <sheetName val="Q4 Risk &amp; Opp"/>
      <sheetName val="2003 Annual Risk &amp; Opp"/>
      <sheetName val="p.anticipados "/>
      <sheetName val="GSM Cabine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y QTD P&amp;Ls --&gt;"/>
      <sheetName val="May'10 Comparative (QTD)"/>
      <sheetName val="May'10 by Region (QTD)"/>
      <sheetName val="by Region DATA - ALLMOT"/>
      <sheetName val="Q1'10 Comparative"/>
      <sheetName val="Q1'10 by Region"/>
      <sheetName val="Q1'10 by Region CORP"/>
      <sheetName val="Q1'10 by Tech"/>
      <sheetName val="Q2'10 P&amp;Ls --&gt;"/>
      <sheetName val="GPS vs Emb"/>
      <sheetName val="GPS vs Emb GM"/>
      <sheetName val="G&amp;PS Indirect Channel"/>
      <sheetName val="Q2'10 Comparative"/>
      <sheetName val="Q2'10 by Region"/>
      <sheetName val="Q2'10 by Region CEO"/>
      <sheetName val="by Tech DATA - ALLMOT"/>
      <sheetName val="by Tech DATA - ALLFIN"/>
      <sheetName val="Q3'10 P&amp;Ls --&gt;"/>
      <sheetName val="Q3'10 Comparative "/>
      <sheetName val="Q3'10 Comparative  (NO MIRS)"/>
      <sheetName val="Q3'10 Comparative  (2)"/>
      <sheetName val="Q3'10 by Region"/>
      <sheetName val="Q3'10 by Region CEO"/>
      <sheetName val="Q3'10  by Tech"/>
      <sheetName val="2010 P&amp;Ls --&gt;"/>
      <sheetName val="2010 Comparative"/>
      <sheetName val="2010 Comparative (NO MIRS)"/>
      <sheetName val="2010 Comparative (NO MIRS) (2)"/>
      <sheetName val="2010 by Region"/>
      <sheetName val="2010 by Region CEO"/>
      <sheetName val="2010 by Tech"/>
      <sheetName val="8 Quarter Trends --&gt;"/>
      <sheetName val="EMS 8 Quarter P&amp;L, 09-10"/>
      <sheetName val="EMS 8 Quarter P&amp;L, 09-10 FULL"/>
      <sheetName val="BGM Details --&gt;"/>
      <sheetName val="EMS 8 Quarter BGM, 09-10"/>
      <sheetName val="EMS 8 Quarter Key Ratios, 09-10"/>
      <sheetName val="5 Year P&amp;Ls --&gt;"/>
      <sheetName val="EMS 5 Year P&amp;L Adj"/>
      <sheetName val="Backlog--&gt;"/>
      <sheetName val="April OSB comparative"/>
      <sheetName val="May OSB comparative"/>
      <sheetName val="Backlog Graphs and Data"/>
      <sheetName val="G&amp;PS Backlog by Month ($M)"/>
      <sheetName val="G&amp;PS Backlog by Month ($M) NEW"/>
      <sheetName val="Astro Systems backlog"/>
      <sheetName val="Backlog fcst"/>
      <sheetName val="Q2 Orders"/>
      <sheetName val="Subs Backlo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 Holdco LP Expense Report "/>
      <sheetName val="Back Office"/>
      <sheetName val="Targets"/>
      <sheetName val="Lists"/>
      <sheetName val="WO"/>
      <sheetName val="ER_JHooton_113017"/>
    </sheetNames>
    <sheetDataSet>
      <sheetData sheetId="0" refreshError="1"/>
      <sheetData sheetId="1" refreshError="1"/>
      <sheetData sheetId="2"/>
      <sheetData sheetId="3"/>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WIP in RB"/>
      <sheetName val="March 2018"/>
      <sheetName val="Feb 2018"/>
    </sheetNames>
    <sheetDataSet>
      <sheetData sheetId="0"/>
      <sheetData sheetId="1">
        <row r="3">
          <cell r="A3" t="str">
            <v>WO #</v>
          </cell>
          <cell r="B3" t="str">
            <v>WO Title</v>
          </cell>
          <cell r="C3">
            <v>43190</v>
          </cell>
          <cell r="D3" t="str">
            <v>March 2018 Top Side Entries</v>
          </cell>
          <cell r="E3" t="str">
            <v>Total Cumulative CWIP - March 2018</v>
          </cell>
        </row>
        <row r="4">
          <cell r="A4" t="str">
            <v>100062</v>
          </cell>
          <cell r="B4" t="str">
            <v>Bob 230 kV TLines-SW - PM-Plng-Eng</v>
          </cell>
          <cell r="C4">
            <v>1338592.17</v>
          </cell>
          <cell r="D4">
            <v>41401.89</v>
          </cell>
          <cell r="E4">
            <v>1379994.0599999998</v>
          </cell>
        </row>
        <row r="5">
          <cell r="A5" t="str">
            <v>100064</v>
          </cell>
          <cell r="B5" t="str">
            <v>Construct Bob 230 kV Switchyard</v>
          </cell>
          <cell r="C5">
            <v>616687.24</v>
          </cell>
          <cell r="E5">
            <v>616687.24</v>
          </cell>
        </row>
        <row r="6">
          <cell r="A6" t="str">
            <v>100065</v>
          </cell>
          <cell r="B6" t="str">
            <v>Bob 230-Eldorado Interconnect</v>
          </cell>
          <cell r="C6">
            <v>60233.85</v>
          </cell>
          <cell r="E6">
            <v>60233.85</v>
          </cell>
        </row>
        <row r="7">
          <cell r="A7" t="str">
            <v>100066</v>
          </cell>
          <cell r="B7" t="str">
            <v>Bob 230 SW to Eldorado Sub T-Line</v>
          </cell>
          <cell r="C7">
            <v>263953.57</v>
          </cell>
          <cell r="D7">
            <v>12833.91</v>
          </cell>
          <cell r="E7">
            <v>276787.48</v>
          </cell>
        </row>
        <row r="8">
          <cell r="A8" t="str">
            <v>100067</v>
          </cell>
          <cell r="B8" t="str">
            <v>Bob 230 Switchyard Access Road</v>
          </cell>
          <cell r="C8">
            <v>656.18000000000006</v>
          </cell>
          <cell r="E8">
            <v>656.18000000000006</v>
          </cell>
        </row>
        <row r="9">
          <cell r="A9" t="str">
            <v>100069</v>
          </cell>
          <cell r="B9" t="str">
            <v>Bob 230 - OPGW OH Addition</v>
          </cell>
          <cell r="C9">
            <v>3246.51</v>
          </cell>
          <cell r="E9">
            <v>3246.51</v>
          </cell>
        </row>
        <row r="10">
          <cell r="A10" t="str">
            <v>100077</v>
          </cell>
          <cell r="B10" t="str">
            <v>Bob 230 - UG Fiber Addition</v>
          </cell>
          <cell r="C10">
            <v>0</v>
          </cell>
          <cell r="E10">
            <v>0</v>
          </cell>
        </row>
      </sheetData>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y Group"/>
      <sheetName val="Property Unit"/>
      <sheetName val="Company Property Unit"/>
      <sheetName val="Prop Group Prop Unit"/>
      <sheetName val="Util Acct Prop Unit"/>
      <sheetName val="Func Class Prop Group"/>
      <sheetName val="Retirement Unit"/>
      <sheetName val="Drop-down Data"/>
      <sheetName val="Bob working file - TBDeleted"/>
      <sheetName val="2_Property_Unit_Catalog 12-10-2"/>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_By Entity"/>
      <sheetName val="fullab_entity"/>
      <sheetName val="Lead_Total"/>
      <sheetName val="99-SCHV10DH"/>
      <sheetName val="99 FM - NFM"/>
      <sheetName val="99othmat"/>
      <sheetName val="99dl&amp;frg"/>
      <sheetName val="99dies"/>
      <sheetName val="99sroe"/>
      <sheetName val="99fbs"/>
      <sheetName val="99facind"/>
      <sheetName val="MM99"/>
      <sheetName val="TD99"/>
      <sheetName val="MIMS Committed B"/>
      <sheetName val="Comm-B for 290"/>
      <sheetName val="mmg comm cost sum"/>
      <sheetName val="mspg comm cost sum"/>
      <sheetName val="99 OE"/>
      <sheetName val="99pm"/>
      <sheetName val="fin99"/>
      <sheetName val="99pers"/>
      <sheetName val="99edp"/>
      <sheetName val="98pset"/>
      <sheetName val="99opsadm"/>
      <sheetName val="99othdep"/>
      <sheetName val="98 Fin Anly"/>
      <sheetName val="98 EDP Anly"/>
      <sheetName val="Fact Bldg Svc Anly"/>
      <sheetName val="98 Per Anly"/>
      <sheetName val="UNICAP Inventory Bal-99"/>
      <sheetName val="Sheet2"/>
      <sheetName val="Sheet3"/>
      <sheetName val="SVC Warranty forecast"/>
      <sheetName val="XXXXXX-XXX-XXXXXX Acc Rec"/>
      <sheetName val="Inputs"/>
      <sheetName val="99-107-2"/>
      <sheetName val="99-109-2"/>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77924-C1CB-4CB4-8540-C089003ABA0B}">
  <sheetPr>
    <pageSetUpPr fitToPage="1"/>
  </sheetPr>
  <dimension ref="A1:IV470"/>
  <sheetViews>
    <sheetView tabSelected="1" zoomScale="85" zoomScaleNormal="85" zoomScaleSheetLayoutView="85" workbookViewId="0">
      <selection activeCell="C3" sqref="C3"/>
    </sheetView>
  </sheetViews>
  <sheetFormatPr defaultColWidth="8.6640625" defaultRowHeight="15.75"/>
  <cols>
    <col min="1" max="1" width="6" style="2" customWidth="1"/>
    <col min="2" max="2" width="1.44140625" style="2" customWidth="1"/>
    <col min="3" max="3" width="61.88671875" style="2" customWidth="1"/>
    <col min="4" max="4" width="26.44140625" style="2" customWidth="1"/>
    <col min="5" max="5" width="16.44140625" style="2" customWidth="1"/>
    <col min="6" max="6" width="10.44140625" style="2" customWidth="1"/>
    <col min="7" max="7" width="7.88671875" style="2" customWidth="1"/>
    <col min="8" max="8" width="13.5546875" style="2" customWidth="1"/>
    <col min="9" max="9" width="6.77734375" style="2" customWidth="1"/>
    <col min="10" max="10" width="15.6640625" style="2" customWidth="1"/>
    <col min="11" max="11" width="8.88671875" style="2" customWidth="1"/>
    <col min="12" max="12" width="12" style="2" bestFit="1" customWidth="1"/>
    <col min="13" max="13" width="14.44140625" style="2" customWidth="1"/>
    <col min="14" max="14" width="8.6640625" style="6"/>
    <col min="15" max="15" width="2.109375" style="6" customWidth="1"/>
    <col min="16" max="16384" width="8.6640625" style="6"/>
  </cols>
  <sheetData>
    <row r="1" spans="1:13">
      <c r="A1" s="1"/>
      <c r="C1" s="3"/>
      <c r="D1" s="3"/>
      <c r="E1" s="4"/>
      <c r="F1" s="3"/>
      <c r="G1" s="3"/>
      <c r="H1" s="3"/>
      <c r="I1" s="3"/>
      <c r="J1" s="5"/>
      <c r="K1" s="5"/>
      <c r="L1" s="5"/>
      <c r="M1" s="5"/>
    </row>
    <row r="2" spans="1:13">
      <c r="C2" s="3"/>
      <c r="D2" s="3"/>
      <c r="E2" s="4"/>
      <c r="F2" s="3"/>
      <c r="G2" s="3"/>
      <c r="H2" s="3"/>
      <c r="I2" s="3"/>
      <c r="K2" s="5"/>
      <c r="L2" s="5"/>
      <c r="M2" s="5" t="s">
        <v>0</v>
      </c>
    </row>
    <row r="3" spans="1:13">
      <c r="C3" s="3"/>
      <c r="D3" s="3"/>
      <c r="E3" s="4"/>
      <c r="F3" s="3"/>
      <c r="G3" s="3"/>
      <c r="H3" s="3"/>
      <c r="I3" s="3"/>
      <c r="J3" s="5"/>
      <c r="K3" s="7"/>
      <c r="L3" s="7"/>
      <c r="M3" s="7" t="s">
        <v>1</v>
      </c>
    </row>
    <row r="4" spans="1:13">
      <c r="C4" s="3"/>
      <c r="D4" s="3"/>
      <c r="E4" s="4"/>
      <c r="F4" s="3"/>
      <c r="G4" s="3"/>
      <c r="H4" s="3"/>
      <c r="I4" s="3"/>
      <c r="J4" s="3"/>
    </row>
    <row r="5" spans="1:13">
      <c r="D5" s="8"/>
      <c r="E5" s="8" t="s">
        <v>2</v>
      </c>
      <c r="F5" s="3"/>
      <c r="G5" s="3"/>
      <c r="H5" s="3"/>
      <c r="I5" s="3"/>
    </row>
    <row r="6" spans="1:13">
      <c r="C6" s="3"/>
      <c r="D6" s="9" t="s">
        <v>3</v>
      </c>
      <c r="E6" s="9" t="s">
        <v>4</v>
      </c>
      <c r="F6" s="9"/>
      <c r="G6" s="9"/>
      <c r="H6" s="9"/>
      <c r="I6" s="3"/>
      <c r="J6" s="10"/>
      <c r="K6" s="10"/>
      <c r="L6" s="10"/>
      <c r="M6" s="10" t="s">
        <v>5</v>
      </c>
    </row>
    <row r="7" spans="1:13">
      <c r="D7" s="11" t="s">
        <v>6</v>
      </c>
      <c r="E7" s="12"/>
      <c r="F7" s="12"/>
      <c r="G7" s="12"/>
      <c r="H7" s="12"/>
      <c r="K7" s="13"/>
      <c r="L7" s="14"/>
      <c r="M7" s="10" t="s">
        <v>979</v>
      </c>
    </row>
    <row r="8" spans="1:13">
      <c r="D8" s="11" t="s">
        <v>7</v>
      </c>
      <c r="E8" s="15"/>
      <c r="F8" s="15"/>
      <c r="G8" s="15"/>
      <c r="H8" s="16"/>
      <c r="K8" s="17"/>
      <c r="M8" s="18"/>
    </row>
    <row r="9" spans="1:13">
      <c r="A9" s="19"/>
      <c r="D9" s="20"/>
      <c r="E9" s="21"/>
      <c r="F9" s="22"/>
      <c r="G9" s="22"/>
      <c r="H9" s="22"/>
      <c r="M9" s="7"/>
    </row>
    <row r="10" spans="1:13">
      <c r="A10" s="19"/>
      <c r="D10" s="20"/>
      <c r="F10" s="22"/>
      <c r="G10" s="22"/>
      <c r="H10" s="22"/>
      <c r="M10" s="7"/>
    </row>
    <row r="11" spans="1:13">
      <c r="A11" s="19"/>
      <c r="D11" s="20"/>
      <c r="E11" s="23"/>
      <c r="F11" s="22"/>
      <c r="G11" s="22"/>
      <c r="H11" s="22"/>
      <c r="M11" s="7"/>
    </row>
    <row r="12" spans="1:13">
      <c r="A12" s="19"/>
      <c r="C12" s="24" t="s">
        <v>8</v>
      </c>
      <c r="E12" s="24"/>
      <c r="F12" s="22"/>
      <c r="G12" s="22"/>
      <c r="H12" s="22"/>
      <c r="M12" s="7"/>
    </row>
    <row r="13" spans="1:13">
      <c r="A13" s="19"/>
      <c r="C13" s="24"/>
      <c r="D13" s="24"/>
      <c r="E13" s="24"/>
      <c r="F13" s="22"/>
      <c r="G13" s="22"/>
      <c r="H13" s="22"/>
      <c r="M13" s="7"/>
    </row>
    <row r="14" spans="1:13">
      <c r="A14" s="19"/>
      <c r="C14" s="24" t="s">
        <v>9</v>
      </c>
      <c r="D14" s="24" t="s">
        <v>10</v>
      </c>
      <c r="E14" s="24" t="s">
        <v>11</v>
      </c>
      <c r="F14" s="22"/>
      <c r="G14" s="22"/>
      <c r="H14" s="22"/>
      <c r="M14" s="7"/>
    </row>
    <row r="15" spans="1:13">
      <c r="A15" s="19"/>
      <c r="C15" s="24" t="s">
        <v>12</v>
      </c>
      <c r="D15" s="25">
        <v>1</v>
      </c>
      <c r="E15" s="24" t="s">
        <v>13</v>
      </c>
      <c r="F15" s="22"/>
      <c r="G15" s="22"/>
      <c r="H15" s="22"/>
      <c r="M15" s="7"/>
    </row>
    <row r="16" spans="1:13">
      <c r="A16" s="19"/>
      <c r="C16" s="24" t="s">
        <v>12</v>
      </c>
      <c r="D16" s="25">
        <f>+D15+1</f>
        <v>2</v>
      </c>
      <c r="E16" s="24" t="s">
        <v>14</v>
      </c>
      <c r="F16" s="22"/>
      <c r="G16" s="22"/>
      <c r="H16" s="22"/>
      <c r="M16" s="7"/>
    </row>
    <row r="17" spans="1:13">
      <c r="A17" s="19"/>
      <c r="C17" s="24" t="s">
        <v>12</v>
      </c>
      <c r="D17" s="25">
        <f t="shared" ref="D17:D27" si="0">+D16+1</f>
        <v>3</v>
      </c>
      <c r="E17" s="24" t="s">
        <v>15</v>
      </c>
      <c r="F17" s="22"/>
      <c r="G17" s="22"/>
      <c r="H17" s="22"/>
      <c r="M17" s="7"/>
    </row>
    <row r="18" spans="1:13">
      <c r="A18" s="19"/>
      <c r="C18" s="24" t="s">
        <v>12</v>
      </c>
      <c r="D18" s="25">
        <f t="shared" si="0"/>
        <v>4</v>
      </c>
      <c r="E18" s="24" t="s">
        <v>16</v>
      </c>
      <c r="F18" s="22"/>
      <c r="G18" s="22"/>
      <c r="H18" s="22"/>
      <c r="M18" s="7"/>
    </row>
    <row r="19" spans="1:13">
      <c r="A19" s="19"/>
      <c r="C19" s="24" t="s">
        <v>12</v>
      </c>
      <c r="D19" s="25">
        <f t="shared" si="0"/>
        <v>5</v>
      </c>
      <c r="E19" s="24" t="s">
        <v>17</v>
      </c>
      <c r="F19" s="22"/>
      <c r="G19" s="22"/>
      <c r="H19" s="22"/>
      <c r="M19" s="7"/>
    </row>
    <row r="20" spans="1:13">
      <c r="A20" s="19"/>
      <c r="C20" s="24" t="s">
        <v>12</v>
      </c>
      <c r="D20" s="25" t="s">
        <v>18</v>
      </c>
      <c r="E20" s="24" t="s">
        <v>19</v>
      </c>
      <c r="F20" s="22"/>
      <c r="G20" s="22"/>
      <c r="H20" s="22"/>
      <c r="M20" s="7"/>
    </row>
    <row r="21" spans="1:13">
      <c r="A21" s="19"/>
      <c r="C21" s="24" t="s">
        <v>12</v>
      </c>
      <c r="D21" s="25" t="s">
        <v>20</v>
      </c>
      <c r="E21" s="24" t="s">
        <v>21</v>
      </c>
      <c r="F21" s="22"/>
      <c r="G21" s="22"/>
      <c r="H21" s="22"/>
      <c r="M21" s="7"/>
    </row>
    <row r="22" spans="1:13">
      <c r="A22" s="19"/>
      <c r="C22" s="24" t="s">
        <v>12</v>
      </c>
      <c r="D22" s="25" t="s">
        <v>22</v>
      </c>
      <c r="E22" s="24" t="s">
        <v>23</v>
      </c>
      <c r="F22" s="22"/>
      <c r="G22" s="22"/>
      <c r="H22" s="22"/>
      <c r="M22" s="7"/>
    </row>
    <row r="23" spans="1:13">
      <c r="A23" s="19"/>
      <c r="C23" s="24" t="s">
        <v>12</v>
      </c>
      <c r="D23" s="25" t="s">
        <v>24</v>
      </c>
      <c r="E23" s="24" t="s">
        <v>25</v>
      </c>
      <c r="F23" s="22"/>
      <c r="G23" s="22"/>
      <c r="H23" s="22"/>
      <c r="M23" s="7"/>
    </row>
    <row r="24" spans="1:13">
      <c r="A24" s="19"/>
      <c r="C24" s="24" t="s">
        <v>12</v>
      </c>
      <c r="D24" s="25" t="s">
        <v>26</v>
      </c>
      <c r="E24" s="24" t="s">
        <v>27</v>
      </c>
      <c r="F24" s="22"/>
      <c r="G24" s="22"/>
      <c r="H24" s="22"/>
      <c r="M24" s="7"/>
    </row>
    <row r="25" spans="1:13">
      <c r="A25" s="19"/>
      <c r="C25" s="24" t="s">
        <v>12</v>
      </c>
      <c r="D25" s="25" t="s">
        <v>28</v>
      </c>
      <c r="E25" s="24" t="s">
        <v>29</v>
      </c>
      <c r="F25" s="22"/>
      <c r="G25" s="22"/>
      <c r="H25" s="22"/>
      <c r="M25" s="7"/>
    </row>
    <row r="26" spans="1:13">
      <c r="A26" s="19"/>
      <c r="C26" s="24" t="s">
        <v>12</v>
      </c>
      <c r="D26" s="25" t="s">
        <v>30</v>
      </c>
      <c r="E26" s="2" t="s">
        <v>31</v>
      </c>
      <c r="F26" s="22"/>
      <c r="G26" s="22"/>
      <c r="H26" s="22"/>
      <c r="M26" s="7"/>
    </row>
    <row r="27" spans="1:13">
      <c r="A27" s="19"/>
      <c r="C27" s="24" t="s">
        <v>12</v>
      </c>
      <c r="D27" s="25">
        <f t="shared" si="0"/>
        <v>8</v>
      </c>
      <c r="E27" s="24" t="s">
        <v>32</v>
      </c>
      <c r="F27" s="22"/>
      <c r="G27" s="22"/>
      <c r="H27" s="22"/>
      <c r="M27" s="7"/>
    </row>
    <row r="28" spans="1:13">
      <c r="A28" s="19"/>
      <c r="C28" s="24" t="s">
        <v>12</v>
      </c>
      <c r="D28" s="17">
        <v>9</v>
      </c>
      <c r="E28" s="24" t="s">
        <v>33</v>
      </c>
    </row>
    <row r="29" spans="1:13">
      <c r="A29" s="19"/>
      <c r="C29" s="24" t="s">
        <v>12</v>
      </c>
      <c r="D29" s="26">
        <v>10</v>
      </c>
      <c r="E29" s="24" t="s">
        <v>34</v>
      </c>
    </row>
    <row r="30" spans="1:13">
      <c r="A30" s="19"/>
      <c r="C30" s="24" t="s">
        <v>12</v>
      </c>
      <c r="D30" s="26">
        <v>11</v>
      </c>
      <c r="E30" s="24" t="s">
        <v>35</v>
      </c>
    </row>
    <row r="31" spans="1:13">
      <c r="A31" s="19"/>
      <c r="C31" s="24" t="s">
        <v>12</v>
      </c>
      <c r="D31" s="26">
        <v>12</v>
      </c>
      <c r="E31" s="24" t="s">
        <v>36</v>
      </c>
    </row>
    <row r="32" spans="1:13">
      <c r="A32" s="19"/>
      <c r="E32" s="27"/>
    </row>
    <row r="33" spans="1:14">
      <c r="A33" s="19"/>
      <c r="C33" s="3" t="s">
        <v>37</v>
      </c>
      <c r="E33" s="27"/>
    </row>
    <row r="34" spans="1:14">
      <c r="A34" s="19"/>
      <c r="E34" s="28" t="s">
        <v>38</v>
      </c>
      <c r="H34" s="28" t="s">
        <v>39</v>
      </c>
      <c r="J34" s="28" t="s">
        <v>40</v>
      </c>
      <c r="L34" s="28"/>
      <c r="M34" s="28"/>
    </row>
    <row r="35" spans="1:14">
      <c r="A35" s="19"/>
      <c r="M35" s="19"/>
    </row>
    <row r="36" spans="1:14">
      <c r="A36" s="19" t="s">
        <v>41</v>
      </c>
      <c r="E36" s="27"/>
      <c r="J36" s="19" t="s">
        <v>42</v>
      </c>
      <c r="M36" s="19"/>
    </row>
    <row r="37" spans="1:14" ht="16.5" thickBot="1">
      <c r="A37" s="29" t="s">
        <v>43</v>
      </c>
      <c r="J37" s="29" t="s">
        <v>44</v>
      </c>
      <c r="L37" s="19"/>
      <c r="M37" s="19"/>
    </row>
    <row r="38" spans="1:14">
      <c r="A38" s="19">
        <v>1</v>
      </c>
      <c r="C38" s="2" t="s">
        <v>45</v>
      </c>
      <c r="D38" s="2" t="str">
        <f>"(line "&amp;A157&amp;")"</f>
        <v>(line 67)</v>
      </c>
      <c r="E38" s="9"/>
      <c r="H38" s="2" t="s">
        <v>46</v>
      </c>
      <c r="J38" s="30">
        <f>+J157</f>
        <v>8863134.3502889778</v>
      </c>
      <c r="M38" s="30"/>
    </row>
    <row r="39" spans="1:14">
      <c r="A39" s="19"/>
      <c r="J39" s="31"/>
    </row>
    <row r="40" spans="1:14">
      <c r="A40" s="19"/>
      <c r="J40" s="32"/>
    </row>
    <row r="41" spans="1:14" ht="16.5" thickBot="1">
      <c r="A41" s="19" t="s">
        <v>3</v>
      </c>
      <c r="C41" s="2" t="s">
        <v>47</v>
      </c>
      <c r="D41" s="9"/>
      <c r="E41" s="29" t="s">
        <v>48</v>
      </c>
      <c r="F41" s="9"/>
      <c r="G41" s="33" t="s">
        <v>49</v>
      </c>
      <c r="H41" s="33"/>
      <c r="J41" s="32"/>
    </row>
    <row r="42" spans="1:14">
      <c r="A42" s="19">
        <f>+A38+1</f>
        <v>2</v>
      </c>
      <c r="C42" s="2" t="str">
        <f>+'1 - Revenue Credits'!B15</f>
        <v>Total Revenue Credits</v>
      </c>
      <c r="D42" s="9" t="str">
        <f>"Attach 1, line "&amp;'1 - Revenue Credits'!A15&amp;""</f>
        <v>Attach 1, line 7</v>
      </c>
      <c r="E42" s="34">
        <f>+'1 - Revenue Credits'!D15</f>
        <v>0</v>
      </c>
      <c r="F42" s="9"/>
      <c r="G42" s="9" t="str">
        <f>+G66</f>
        <v>TP</v>
      </c>
      <c r="H42" s="35">
        <f>+H66</f>
        <v>1</v>
      </c>
      <c r="I42" s="9"/>
      <c r="J42" s="36">
        <f>+H42*E42</f>
        <v>0</v>
      </c>
      <c r="L42" s="37"/>
      <c r="M42" s="37"/>
      <c r="N42" s="38"/>
    </row>
    <row r="43" spans="1:14">
      <c r="A43" s="19">
        <f>+A42+1</f>
        <v>3</v>
      </c>
      <c r="C43" s="2" t="s">
        <v>50</v>
      </c>
      <c r="D43" s="39" t="s">
        <v>51</v>
      </c>
      <c r="E43" s="40">
        <f>'5 - True-Up'!J53</f>
        <v>4958814.4469318772</v>
      </c>
      <c r="G43" s="2" t="s">
        <v>52</v>
      </c>
      <c r="H43" s="41">
        <v>1</v>
      </c>
      <c r="J43" s="36">
        <f>+H43*E43</f>
        <v>4958814.4469318772</v>
      </c>
    </row>
    <row r="44" spans="1:14">
      <c r="A44" s="19"/>
      <c r="J44" s="9"/>
    </row>
    <row r="45" spans="1:14" ht="16.5" thickBot="1">
      <c r="A45" s="19">
        <f>+A43+1</f>
        <v>4</v>
      </c>
      <c r="C45" s="2" t="s">
        <v>53</v>
      </c>
      <c r="D45" s="2" t="str">
        <f>"(line "&amp;A38&amp;" minus line "&amp;A42&amp;" plus line "&amp;A43&amp;")"</f>
        <v>(line 1 minus line 2 plus line 3)</v>
      </c>
      <c r="F45" s="9"/>
      <c r="G45" s="9"/>
      <c r="H45" s="9"/>
      <c r="I45" s="9"/>
      <c r="J45" s="42">
        <f>+J38-J42+J43</f>
        <v>13821948.797220856</v>
      </c>
      <c r="M45" s="43"/>
    </row>
    <row r="46" spans="1:14" ht="16.5" thickTop="1">
      <c r="A46" s="19"/>
      <c r="E46" s="44"/>
      <c r="F46" s="9"/>
      <c r="G46" s="9"/>
      <c r="H46" s="9"/>
      <c r="I46" s="9"/>
    </row>
    <row r="47" spans="1:14">
      <c r="A47" s="19"/>
      <c r="D47" s="9"/>
      <c r="J47" s="9"/>
    </row>
    <row r="48" spans="1:14">
      <c r="A48" s="19"/>
      <c r="E48" s="9"/>
      <c r="J48" s="9"/>
    </row>
    <row r="49" spans="1:13">
      <c r="A49" s="19"/>
      <c r="E49" s="9"/>
      <c r="J49" s="9"/>
    </row>
    <row r="50" spans="1:13">
      <c r="C50" s="3"/>
      <c r="D50" s="3"/>
      <c r="E50" s="4"/>
      <c r="F50" s="3"/>
      <c r="G50" s="3"/>
      <c r="H50" s="3"/>
      <c r="I50" s="3"/>
      <c r="J50" s="3"/>
      <c r="K50" s="19"/>
      <c r="L50" s="19"/>
      <c r="M50" s="5"/>
    </row>
    <row r="51" spans="1:13">
      <c r="C51" s="3"/>
      <c r="D51" s="3"/>
      <c r="E51" s="4"/>
      <c r="F51" s="3"/>
      <c r="G51" s="3"/>
      <c r="H51" s="3"/>
      <c r="I51" s="3"/>
      <c r="J51" s="5"/>
      <c r="K51" s="5"/>
      <c r="L51" s="5"/>
      <c r="M51" s="5" t="s">
        <v>0</v>
      </c>
    </row>
    <row r="52" spans="1:13">
      <c r="C52" s="3"/>
      <c r="D52" s="3"/>
      <c r="E52" s="4"/>
      <c r="F52" s="3"/>
      <c r="G52" s="3"/>
      <c r="H52" s="3"/>
      <c r="I52" s="3"/>
      <c r="J52" s="7"/>
      <c r="K52" s="7"/>
      <c r="L52" s="7"/>
      <c r="M52" s="7" t="s">
        <v>54</v>
      </c>
    </row>
    <row r="53" spans="1:13">
      <c r="C53" s="3"/>
      <c r="D53" s="3"/>
      <c r="E53" s="4"/>
      <c r="F53" s="3"/>
      <c r="G53" s="3"/>
      <c r="H53" s="3"/>
      <c r="I53" s="3"/>
      <c r="J53" s="3"/>
      <c r="L53" s="7"/>
      <c r="M53" s="7"/>
    </row>
    <row r="54" spans="1:13">
      <c r="C54" s="3"/>
      <c r="D54" s="3"/>
      <c r="E54" s="4"/>
      <c r="F54" s="3"/>
      <c r="G54" s="3"/>
      <c r="H54" s="3"/>
      <c r="I54" s="3"/>
      <c r="J54" s="3"/>
      <c r="L54" s="7"/>
    </row>
    <row r="55" spans="1:13">
      <c r="C55" s="3" t="s">
        <v>37</v>
      </c>
      <c r="D55" s="8"/>
      <c r="E55" s="8" t="s">
        <v>2</v>
      </c>
      <c r="F55" s="3"/>
      <c r="G55" s="3"/>
      <c r="H55" s="3"/>
      <c r="I55" s="3"/>
    </row>
    <row r="56" spans="1:13">
      <c r="C56" s="3"/>
      <c r="D56" s="9" t="s">
        <v>3</v>
      </c>
      <c r="E56" s="9" t="s">
        <v>4</v>
      </c>
      <c r="F56" s="9"/>
      <c r="G56" s="9"/>
      <c r="H56" s="9"/>
      <c r="I56" s="3"/>
      <c r="J56" s="3"/>
    </row>
    <row r="57" spans="1:13">
      <c r="C57" s="3"/>
      <c r="D57" s="9"/>
      <c r="E57" s="45"/>
      <c r="F57" s="9"/>
      <c r="G57" s="46"/>
      <c r="H57" s="9"/>
      <c r="I57" s="3"/>
      <c r="J57" s="3"/>
      <c r="K57" s="14"/>
      <c r="L57" s="14"/>
      <c r="M57" s="10" t="str">
        <f>+M7</f>
        <v>For the 12 months ended 12/31/2020</v>
      </c>
    </row>
    <row r="58" spans="1:13">
      <c r="C58" s="3"/>
      <c r="D58" s="47" t="s">
        <v>55</v>
      </c>
      <c r="E58" s="48"/>
      <c r="F58" s="48"/>
      <c r="G58" s="48"/>
      <c r="H58" s="9"/>
      <c r="I58" s="3"/>
      <c r="J58" s="3"/>
      <c r="M58" s="18"/>
    </row>
    <row r="59" spans="1:13">
      <c r="E59" s="6"/>
      <c r="F59" s="9"/>
      <c r="G59" s="9"/>
      <c r="H59" s="9"/>
      <c r="I59" s="9"/>
      <c r="J59" s="9"/>
      <c r="K59" s="9"/>
      <c r="L59" s="9"/>
      <c r="M59" s="49"/>
    </row>
    <row r="60" spans="1:13">
      <c r="C60" s="50" t="s">
        <v>38</v>
      </c>
      <c r="D60" s="50" t="s">
        <v>39</v>
      </c>
      <c r="E60" s="50" t="s">
        <v>40</v>
      </c>
      <c r="F60" s="9" t="s">
        <v>3</v>
      </c>
      <c r="G60" s="9"/>
      <c r="H60" s="51" t="s">
        <v>56</v>
      </c>
      <c r="I60" s="9"/>
      <c r="J60" s="51" t="s">
        <v>57</v>
      </c>
      <c r="K60" s="9"/>
      <c r="L60" s="28"/>
      <c r="M60" s="28"/>
    </row>
    <row r="61" spans="1:13">
      <c r="D61" s="52"/>
      <c r="E61" s="9"/>
      <c r="F61" s="9"/>
      <c r="G61" s="9"/>
      <c r="H61" s="19"/>
      <c r="I61" s="9"/>
      <c r="J61" s="53" t="s">
        <v>58</v>
      </c>
      <c r="K61" s="9"/>
      <c r="L61" s="50"/>
      <c r="M61" s="50"/>
    </row>
    <row r="62" spans="1:13">
      <c r="A62" s="19" t="s">
        <v>41</v>
      </c>
      <c r="D62" s="54" t="s">
        <v>59</v>
      </c>
      <c r="E62" s="53" t="s">
        <v>60</v>
      </c>
      <c r="F62" s="55"/>
      <c r="G62" s="53" t="s">
        <v>61</v>
      </c>
      <c r="I62" s="55"/>
      <c r="J62" s="19" t="s">
        <v>62</v>
      </c>
      <c r="K62" s="9"/>
      <c r="L62" s="19"/>
      <c r="M62" s="19"/>
    </row>
    <row r="63" spans="1:13" ht="16.5" thickBot="1">
      <c r="A63" s="29" t="s">
        <v>43</v>
      </c>
      <c r="C63" s="16" t="s">
        <v>63</v>
      </c>
      <c r="D63" s="9"/>
      <c r="E63" s="9"/>
      <c r="F63" s="9"/>
      <c r="G63" s="9"/>
      <c r="H63" s="9"/>
      <c r="I63" s="9"/>
      <c r="J63" s="9"/>
      <c r="K63" s="9"/>
      <c r="L63" s="9"/>
      <c r="M63" s="9"/>
    </row>
    <row r="64" spans="1:13">
      <c r="A64" s="19"/>
      <c r="D64" s="9"/>
      <c r="E64" s="9"/>
      <c r="F64" s="9"/>
      <c r="G64" s="9"/>
      <c r="H64" s="9"/>
      <c r="I64" s="9"/>
      <c r="J64" s="9"/>
      <c r="K64" s="9"/>
      <c r="L64" s="9"/>
      <c r="M64" s="9"/>
    </row>
    <row r="65" spans="1:23">
      <c r="A65" s="19"/>
      <c r="C65" s="2" t="s">
        <v>64</v>
      </c>
      <c r="D65" s="9"/>
      <c r="E65" s="9"/>
      <c r="F65" s="9"/>
      <c r="G65" s="9"/>
      <c r="H65" s="9"/>
      <c r="I65" s="9"/>
      <c r="J65" s="9"/>
      <c r="K65" s="9"/>
      <c r="L65" s="9"/>
      <c r="M65" s="9"/>
    </row>
    <row r="66" spans="1:23">
      <c r="A66" s="19">
        <f>+A45+1</f>
        <v>5</v>
      </c>
      <c r="C66" s="2" t="s">
        <v>65</v>
      </c>
      <c r="D66" s="9" t="s">
        <v>66</v>
      </c>
      <c r="E66" s="56">
        <f>+'2 - Cost Support '!F21</f>
        <v>41218029.494615391</v>
      </c>
      <c r="F66" s="9"/>
      <c r="G66" s="9" t="s">
        <v>67</v>
      </c>
      <c r="H66" s="35">
        <f>+J$177</f>
        <v>1</v>
      </c>
      <c r="I66" s="9"/>
      <c r="J66" s="36">
        <f>+H66*E66</f>
        <v>41218029.494615391</v>
      </c>
      <c r="K66" s="9"/>
      <c r="L66" s="57"/>
      <c r="M66" s="58"/>
      <c r="N66" s="59"/>
    </row>
    <row r="67" spans="1:23">
      <c r="A67" s="19">
        <f>+A66+1</f>
        <v>6</v>
      </c>
      <c r="C67" s="2" t="s">
        <v>68</v>
      </c>
      <c r="D67" s="9" t="s">
        <v>69</v>
      </c>
      <c r="E67" s="56">
        <f>+'2 - Cost Support '!F37+'2 - Cost Support '!F53</f>
        <v>225940.51769230768</v>
      </c>
      <c r="F67" s="9"/>
      <c r="G67" s="9" t="s">
        <v>70</v>
      </c>
      <c r="H67" s="35">
        <f>+J$183</f>
        <v>1</v>
      </c>
      <c r="I67" s="9"/>
      <c r="J67" s="36">
        <f>+H67*E67</f>
        <v>225940.51769230768</v>
      </c>
      <c r="K67" s="9"/>
      <c r="L67" s="57"/>
      <c r="M67" s="58"/>
      <c r="N67" s="59"/>
    </row>
    <row r="68" spans="1:23">
      <c r="A68" s="19">
        <f>+A67+1</f>
        <v>7</v>
      </c>
      <c r="C68" s="3" t="str">
        <f>"TOTAL GROSS PLANT (sum lines "&amp;A66&amp;"-"&amp;A67&amp;")"</f>
        <v>TOTAL GROSS PLANT (sum lines 5-6)</v>
      </c>
      <c r="D68" s="60" t="s">
        <v>71</v>
      </c>
      <c r="E68" s="56">
        <f>SUM(E66:E67)</f>
        <v>41443970.012307696</v>
      </c>
      <c r="F68" s="9"/>
      <c r="G68" s="9" t="s">
        <v>72</v>
      </c>
      <c r="H68" s="61">
        <f>J68/E68</f>
        <v>1</v>
      </c>
      <c r="I68" s="9"/>
      <c r="J68" s="36">
        <f>SUM(J66:J67)</f>
        <v>41443970.012307696</v>
      </c>
      <c r="K68" s="9"/>
      <c r="L68" s="49"/>
      <c r="M68" s="9"/>
    </row>
    <row r="69" spans="1:23">
      <c r="A69" s="19"/>
      <c r="D69" s="60"/>
      <c r="E69" s="56"/>
      <c r="F69" s="9"/>
      <c r="G69" s="9"/>
      <c r="H69" s="62"/>
      <c r="I69" s="9"/>
      <c r="J69" s="36"/>
      <c r="K69" s="9"/>
      <c r="L69" s="63"/>
      <c r="M69" s="9"/>
      <c r="W69" s="64"/>
    </row>
    <row r="70" spans="1:23">
      <c r="A70" s="19">
        <f>+A68+1</f>
        <v>8</v>
      </c>
      <c r="C70" s="2" t="s">
        <v>73</v>
      </c>
      <c r="D70" s="9"/>
      <c r="E70" s="56"/>
      <c r="F70" s="9"/>
      <c r="G70" s="9"/>
      <c r="H70" s="35"/>
      <c r="I70" s="9"/>
      <c r="J70" s="36"/>
      <c r="K70" s="9"/>
      <c r="L70" s="9"/>
      <c r="M70" s="9"/>
    </row>
    <row r="71" spans="1:23">
      <c r="A71" s="19">
        <f>+A70+1</f>
        <v>9</v>
      </c>
      <c r="C71" s="2" t="s">
        <v>65</v>
      </c>
      <c r="D71" s="9" t="s">
        <v>74</v>
      </c>
      <c r="E71" s="56">
        <f>+'2 - Cost Support '!F74</f>
        <v>464323.05692307692</v>
      </c>
      <c r="F71" s="9"/>
      <c r="G71" s="9" t="str">
        <f>+G66</f>
        <v>TP</v>
      </c>
      <c r="H71" s="35">
        <f>+J$177</f>
        <v>1</v>
      </c>
      <c r="I71" s="9"/>
      <c r="J71" s="36">
        <f>+H71*E71</f>
        <v>464323.05692307692</v>
      </c>
      <c r="K71" s="9"/>
      <c r="L71" s="37"/>
      <c r="M71" s="65"/>
      <c r="N71" s="59"/>
    </row>
    <row r="72" spans="1:23">
      <c r="A72" s="19">
        <f>+A71+1</f>
        <v>10</v>
      </c>
      <c r="C72" s="2" t="s">
        <v>68</v>
      </c>
      <c r="D72" s="9" t="s">
        <v>75</v>
      </c>
      <c r="E72" s="56">
        <f>+'2 - Cost Support '!F90+'2 - Cost Support '!F106</f>
        <v>121.58230769230769</v>
      </c>
      <c r="F72" s="9"/>
      <c r="G72" s="9" t="str">
        <f>+G67</f>
        <v>W/S</v>
      </c>
      <c r="H72" s="35">
        <f>+J$183</f>
        <v>1</v>
      </c>
      <c r="I72" s="9"/>
      <c r="J72" s="36">
        <f>+H72*E72</f>
        <v>121.58230769230769</v>
      </c>
      <c r="K72" s="9"/>
      <c r="L72" s="37"/>
      <c r="M72" s="65"/>
      <c r="N72" s="59"/>
    </row>
    <row r="73" spans="1:23">
      <c r="A73" s="19">
        <f>+A72+1</f>
        <v>11</v>
      </c>
      <c r="C73" s="2" t="str">
        <f>"TOTAL ACCUM. DEPRECIATION (sum lines "&amp;A71&amp;"-"&amp;A72&amp;")"</f>
        <v>TOTAL ACCUM. DEPRECIATION (sum lines 9-10)</v>
      </c>
      <c r="D73" s="9"/>
      <c r="E73" s="56">
        <f>SUM(E71:E72)</f>
        <v>464444.63923076924</v>
      </c>
      <c r="F73" s="9"/>
      <c r="G73" s="9"/>
      <c r="H73" s="35"/>
      <c r="I73" s="9"/>
      <c r="J73" s="36">
        <f>SUM(J71:J72)</f>
        <v>464444.63923076924</v>
      </c>
      <c r="K73" s="9"/>
      <c r="L73" s="9"/>
      <c r="M73" s="9"/>
    </row>
    <row r="74" spans="1:23">
      <c r="A74" s="19"/>
      <c r="D74" s="9" t="s">
        <v>3</v>
      </c>
      <c r="E74" s="56"/>
      <c r="F74" s="9"/>
      <c r="G74" s="9"/>
      <c r="H74" s="62"/>
      <c r="I74" s="9"/>
      <c r="J74" s="36"/>
      <c r="K74" s="9"/>
      <c r="L74" s="63"/>
      <c r="M74" s="9"/>
    </row>
    <row r="75" spans="1:23">
      <c r="A75" s="19">
        <f>+A73+1</f>
        <v>12</v>
      </c>
      <c r="C75" s="2" t="s">
        <v>76</v>
      </c>
      <c r="D75" s="9"/>
      <c r="E75" s="56"/>
      <c r="F75" s="9"/>
      <c r="G75" s="9"/>
      <c r="H75" s="35"/>
      <c r="I75" s="9"/>
      <c r="J75" s="36"/>
      <c r="K75" s="9"/>
      <c r="L75" s="9"/>
      <c r="M75" s="9"/>
    </row>
    <row r="76" spans="1:23">
      <c r="A76" s="19">
        <f>+A75+1</f>
        <v>13</v>
      </c>
      <c r="C76" s="2" t="s">
        <v>77</v>
      </c>
      <c r="D76" s="9" t="str">
        <f>" (line "&amp;A66&amp;"- line "&amp;A71&amp;")"</f>
        <v xml:space="preserve"> (line 5- line 9)</v>
      </c>
      <c r="E76" s="56">
        <f>+E66-E71</f>
        <v>40753706.437692314</v>
      </c>
      <c r="F76" s="9"/>
      <c r="G76" s="9"/>
      <c r="H76" s="35"/>
      <c r="I76" s="9"/>
      <c r="J76" s="36">
        <f>+J66-J71</f>
        <v>40753706.437692314</v>
      </c>
      <c r="K76" s="9"/>
      <c r="L76" s="63"/>
      <c r="M76" s="37"/>
      <c r="N76" s="38"/>
    </row>
    <row r="77" spans="1:23">
      <c r="A77" s="19">
        <f>+A76+1</f>
        <v>14</v>
      </c>
      <c r="C77" s="2" t="s">
        <v>78</v>
      </c>
      <c r="D77" s="9" t="str">
        <f>" (line "&amp;A67&amp;"- line "&amp;A72&amp;")"</f>
        <v xml:space="preserve"> (line 6- line 10)</v>
      </c>
      <c r="E77" s="56">
        <f>+E67-E72</f>
        <v>225818.93538461538</v>
      </c>
      <c r="F77" s="9"/>
      <c r="G77" s="9"/>
      <c r="H77" s="62"/>
      <c r="I77" s="9"/>
      <c r="J77" s="36">
        <f>+J67-J72</f>
        <v>225818.93538461538</v>
      </c>
      <c r="K77" s="9"/>
      <c r="L77" s="63"/>
      <c r="M77" s="37"/>
      <c r="N77" s="38"/>
    </row>
    <row r="78" spans="1:23">
      <c r="A78" s="19">
        <f>+A77+1</f>
        <v>15</v>
      </c>
      <c r="C78" s="2" t="str">
        <f>"TOTAL NET PLANT (sum lines "&amp;A76&amp;"-"&amp;A77&amp;")"</f>
        <v>TOTAL NET PLANT (sum lines 13-14)</v>
      </c>
      <c r="D78" s="60" t="s">
        <v>79</v>
      </c>
      <c r="E78" s="56">
        <f>SUM(E76:E77)</f>
        <v>40979525.373076931</v>
      </c>
      <c r="F78" s="9"/>
      <c r="G78" s="9" t="s">
        <v>80</v>
      </c>
      <c r="H78" s="61">
        <f>J78/E78</f>
        <v>1</v>
      </c>
      <c r="I78" s="9"/>
      <c r="J78" s="36">
        <f>SUM(J76:J77)</f>
        <v>40979525.373076931</v>
      </c>
      <c r="K78" s="9"/>
      <c r="L78" s="9"/>
      <c r="M78" s="9"/>
    </row>
    <row r="79" spans="1:23">
      <c r="A79" s="19"/>
      <c r="D79" s="60"/>
      <c r="E79" s="56"/>
      <c r="F79" s="9"/>
      <c r="H79" s="66"/>
      <c r="I79" s="9"/>
      <c r="J79" s="36"/>
      <c r="K79" s="9"/>
      <c r="L79" s="63"/>
      <c r="M79" s="9"/>
    </row>
    <row r="80" spans="1:23">
      <c r="A80" s="19">
        <f>+A78+1</f>
        <v>16</v>
      </c>
      <c r="C80" s="3" t="str">
        <f>"ADJUSTMENTS TO RATE BASE       (Note "&amp;A220&amp;")"</f>
        <v>ADJUSTMENTS TO RATE BASE       (Note A)</v>
      </c>
      <c r="D80" s="9"/>
      <c r="E80" s="56"/>
      <c r="F80" s="9"/>
      <c r="G80" s="9"/>
      <c r="H80" s="66"/>
      <c r="I80" s="9"/>
      <c r="J80" s="36"/>
      <c r="K80" s="9"/>
      <c r="L80" s="9"/>
      <c r="M80" s="9"/>
    </row>
    <row r="81" spans="1:14">
      <c r="A81" s="19">
        <f t="shared" ref="A81:A87" si="1">+A80+1</f>
        <v>17</v>
      </c>
      <c r="C81" s="2" t="s">
        <v>81</v>
      </c>
      <c r="D81" s="9" t="s">
        <v>82</v>
      </c>
      <c r="E81" s="56">
        <f>'6a-ADIT Projection'!H16</f>
        <v>-5028995.0965753421</v>
      </c>
      <c r="F81" s="9"/>
      <c r="G81" s="9" t="s">
        <v>83</v>
      </c>
      <c r="H81" s="66">
        <f>+H78</f>
        <v>1</v>
      </c>
      <c r="I81" s="9"/>
      <c r="J81" s="56">
        <f t="shared" ref="J81:J86" si="2">+H81*E81</f>
        <v>-5028995.0965753421</v>
      </c>
      <c r="K81" s="9"/>
      <c r="L81" s="9"/>
      <c r="M81" s="65"/>
      <c r="N81" s="38"/>
    </row>
    <row r="82" spans="1:14">
      <c r="A82" s="19">
        <f t="shared" si="1"/>
        <v>18</v>
      </c>
      <c r="C82" s="2" t="s">
        <v>84</v>
      </c>
      <c r="D82" s="9" t="s">
        <v>85</v>
      </c>
      <c r="E82" s="56">
        <f>+'2a - Cost Support'!G5</f>
        <v>0</v>
      </c>
      <c r="F82" s="9"/>
      <c r="G82" s="9" t="s">
        <v>83</v>
      </c>
      <c r="H82" s="66">
        <f>+H$78</f>
        <v>1</v>
      </c>
      <c r="I82" s="9"/>
      <c r="J82" s="67">
        <f t="shared" si="2"/>
        <v>0</v>
      </c>
      <c r="K82" s="9"/>
      <c r="L82" s="9"/>
      <c r="M82" s="65"/>
      <c r="N82" s="38"/>
    </row>
    <row r="83" spans="1:14">
      <c r="A83" s="19">
        <f t="shared" si="1"/>
        <v>19</v>
      </c>
      <c r="C83" s="2" t="s">
        <v>86</v>
      </c>
      <c r="D83" s="9" t="s">
        <v>87</v>
      </c>
      <c r="E83" s="67">
        <f>+'2a - Cost Support'!G44</f>
        <v>0</v>
      </c>
      <c r="F83" s="9"/>
      <c r="G83" s="9" t="s">
        <v>52</v>
      </c>
      <c r="H83" s="68">
        <v>1</v>
      </c>
      <c r="I83" s="9"/>
      <c r="J83" s="67">
        <f>+E83*H83</f>
        <v>0</v>
      </c>
      <c r="K83" s="9"/>
      <c r="L83" s="49"/>
      <c r="M83" s="65"/>
      <c r="N83" s="38"/>
    </row>
    <row r="84" spans="1:14">
      <c r="A84" s="19">
        <f t="shared" si="1"/>
        <v>20</v>
      </c>
      <c r="C84" s="2" t="s">
        <v>88</v>
      </c>
      <c r="D84" s="9" t="s">
        <v>89</v>
      </c>
      <c r="E84" s="67">
        <f>+'2a - Cost Support'!D68</f>
        <v>0</v>
      </c>
      <c r="F84" s="9"/>
      <c r="G84" s="9" t="str">
        <f>+G85</f>
        <v>DA</v>
      </c>
      <c r="H84" s="68">
        <f>+H85</f>
        <v>1</v>
      </c>
      <c r="I84" s="9"/>
      <c r="J84" s="67">
        <f t="shared" si="2"/>
        <v>0</v>
      </c>
      <c r="K84" s="9"/>
      <c r="L84" s="49"/>
      <c r="M84" s="65"/>
      <c r="N84" s="38"/>
    </row>
    <row r="85" spans="1:14">
      <c r="A85" s="19">
        <f t="shared" si="1"/>
        <v>21</v>
      </c>
      <c r="C85" s="2" t="s">
        <v>90</v>
      </c>
      <c r="D85" s="9" t="s">
        <v>91</v>
      </c>
      <c r="E85" s="67">
        <f>+'2a - Cost Support'!E146</f>
        <v>5667360.9205955332</v>
      </c>
      <c r="F85" s="9"/>
      <c r="G85" s="9" t="str">
        <f>+G86</f>
        <v>DA</v>
      </c>
      <c r="H85" s="68">
        <f>+H86</f>
        <v>1</v>
      </c>
      <c r="I85" s="9"/>
      <c r="J85" s="67">
        <f t="shared" si="2"/>
        <v>5667360.9205955332</v>
      </c>
      <c r="K85" s="9"/>
      <c r="L85" s="49"/>
      <c r="M85" s="65"/>
      <c r="N85" s="38"/>
    </row>
    <row r="86" spans="1:14">
      <c r="A86" s="19">
        <f t="shared" si="1"/>
        <v>22</v>
      </c>
      <c r="C86" s="69" t="s">
        <v>92</v>
      </c>
      <c r="D86" s="70" t="s">
        <v>93</v>
      </c>
      <c r="E86" s="71">
        <f>+'2a - Cost Support'!G7</f>
        <v>0</v>
      </c>
      <c r="F86" s="70"/>
      <c r="G86" s="70" t="s">
        <v>52</v>
      </c>
      <c r="H86" s="72">
        <v>1</v>
      </c>
      <c r="I86" s="70"/>
      <c r="J86" s="73">
        <f t="shared" si="2"/>
        <v>0</v>
      </c>
      <c r="K86" s="9"/>
      <c r="L86" s="9"/>
      <c r="M86" s="65"/>
      <c r="N86" s="38"/>
    </row>
    <row r="87" spans="1:14">
      <c r="A87" s="19">
        <f t="shared" si="1"/>
        <v>23</v>
      </c>
      <c r="C87" s="74" t="str">
        <f>"TOTAL ADJUSTMENTS  (sum lines "&amp;A81&amp;"-"&amp;A86&amp;")"</f>
        <v>TOTAL ADJUSTMENTS  (sum lines 17-22)</v>
      </c>
      <c r="D87" s="9"/>
      <c r="E87" s="56">
        <f>SUM(E81:E86)</f>
        <v>638365.8240201911</v>
      </c>
      <c r="F87" s="9"/>
      <c r="G87" s="9"/>
      <c r="H87" s="35"/>
      <c r="I87" s="9"/>
      <c r="J87" s="36">
        <f>SUM(J81:J86)</f>
        <v>638365.8240201911</v>
      </c>
      <c r="K87" s="9"/>
      <c r="L87" s="9"/>
      <c r="M87" s="9"/>
    </row>
    <row r="88" spans="1:14">
      <c r="A88" s="19"/>
      <c r="D88" s="9"/>
      <c r="E88" s="56"/>
      <c r="F88" s="9"/>
      <c r="G88" s="9"/>
      <c r="H88" s="62"/>
      <c r="I88" s="9"/>
      <c r="J88" s="36"/>
      <c r="K88" s="9"/>
      <c r="L88" s="63"/>
      <c r="M88" s="9"/>
    </row>
    <row r="89" spans="1:14">
      <c r="A89" s="19">
        <f>+A87+1</f>
        <v>24</v>
      </c>
      <c r="C89" s="3" t="s">
        <v>94</v>
      </c>
      <c r="D89" s="9" t="s">
        <v>95</v>
      </c>
      <c r="E89" s="56">
        <f>+'2a - Cost Support'!G51</f>
        <v>0</v>
      </c>
      <c r="F89" s="9"/>
      <c r="G89" s="9" t="str">
        <f>+G71</f>
        <v>TP</v>
      </c>
      <c r="H89" s="35">
        <f>+J$177</f>
        <v>1</v>
      </c>
      <c r="I89" s="9"/>
      <c r="J89" s="36">
        <f>+H89*E89</f>
        <v>0</v>
      </c>
      <c r="K89" s="9"/>
      <c r="L89" s="9"/>
      <c r="M89" s="9"/>
    </row>
    <row r="90" spans="1:14">
      <c r="A90" s="19"/>
      <c r="D90" s="9"/>
      <c r="E90" s="56"/>
      <c r="F90" s="9"/>
      <c r="G90" s="9"/>
      <c r="H90" s="35"/>
      <c r="I90" s="9"/>
      <c r="J90" s="36"/>
      <c r="K90" s="9"/>
      <c r="L90" s="9"/>
      <c r="M90" s="9"/>
    </row>
    <row r="91" spans="1:14">
      <c r="A91" s="19">
        <f>+A89+1</f>
        <v>25</v>
      </c>
      <c r="C91" s="2" t="str">
        <f>"WORKING CAPITAL  (Note "&amp;A223&amp;")"</f>
        <v>WORKING CAPITAL  (Note C)</v>
      </c>
      <c r="D91" s="9" t="s">
        <v>3</v>
      </c>
      <c r="E91" s="56"/>
      <c r="F91" s="9"/>
      <c r="G91" s="9"/>
      <c r="H91" s="35"/>
      <c r="I91" s="9"/>
      <c r="J91" s="36"/>
      <c r="K91" s="9"/>
      <c r="L91" s="9"/>
      <c r="M91" s="9"/>
    </row>
    <row r="92" spans="1:14">
      <c r="A92" s="19">
        <f>+A91+1</f>
        <v>26</v>
      </c>
      <c r="C92" s="2" t="s">
        <v>96</v>
      </c>
      <c r="D92" s="2" t="s">
        <v>97</v>
      </c>
      <c r="E92" s="56">
        <f>+E118/8</f>
        <v>389461.84285750001</v>
      </c>
      <c r="F92" s="9"/>
      <c r="G92" s="9"/>
      <c r="H92" s="62"/>
      <c r="I92" s="9"/>
      <c r="J92" s="56">
        <f>+J118/8</f>
        <v>389461.84285750001</v>
      </c>
      <c r="K92" s="9"/>
      <c r="L92" s="49"/>
      <c r="M92" s="65"/>
    </row>
    <row r="93" spans="1:14">
      <c r="A93" s="19">
        <f>+A92+1</f>
        <v>27</v>
      </c>
      <c r="C93" s="2" t="str">
        <f>"  Materials &amp; Supplies  (Note "&amp;A222&amp;")"</f>
        <v xml:space="preserve">  Materials &amp; Supplies  (Note B)</v>
      </c>
      <c r="D93" s="9" t="s">
        <v>98</v>
      </c>
      <c r="E93" s="56">
        <f>+'2a - Cost Support'!H138</f>
        <v>0</v>
      </c>
      <c r="F93" s="9"/>
      <c r="G93" s="9" t="str">
        <f>+G89</f>
        <v>TP</v>
      </c>
      <c r="H93" s="35">
        <f>+H89</f>
        <v>1</v>
      </c>
      <c r="I93" s="9"/>
      <c r="J93" s="36">
        <f>+H93*E93</f>
        <v>0</v>
      </c>
      <c r="K93" s="9"/>
      <c r="L93" s="63"/>
      <c r="M93" s="75"/>
    </row>
    <row r="94" spans="1:14">
      <c r="A94" s="19">
        <f>+A93+1</f>
        <v>28</v>
      </c>
      <c r="C94" s="69" t="str">
        <f xml:space="preserve">  "  Prepayments (Account 165 - Note "&amp;A223&amp;")"</f>
        <v xml:space="preserve">  Prepayments (Account 165 - Note C)</v>
      </c>
      <c r="D94" s="70" t="s">
        <v>99</v>
      </c>
      <c r="E94" s="71">
        <f>+'2a - Cost Support'!F26</f>
        <v>6666.0161538461534</v>
      </c>
      <c r="F94" s="70"/>
      <c r="G94" s="70" t="s">
        <v>100</v>
      </c>
      <c r="H94" s="76">
        <f>+H$68</f>
        <v>1</v>
      </c>
      <c r="I94" s="70"/>
      <c r="J94" s="73">
        <f>+H94*E94</f>
        <v>6666.0161538461534</v>
      </c>
      <c r="K94" s="9"/>
      <c r="L94" s="9"/>
      <c r="M94" s="9"/>
    </row>
    <row r="95" spans="1:14">
      <c r="A95" s="19">
        <f>+A94+1</f>
        <v>29</v>
      </c>
      <c r="C95" s="2" t="str">
        <f>"TOTAL WORKING CAPITAL (sum lines "&amp;A92&amp;"-"&amp;A94&amp;")"</f>
        <v>TOTAL WORKING CAPITAL (sum lines 26-28)</v>
      </c>
      <c r="E95" s="36">
        <f>SUM(E92:E94)</f>
        <v>396127.85901134618</v>
      </c>
      <c r="J95" s="36">
        <f>SUM(J92:J94)</f>
        <v>396127.85901134618</v>
      </c>
      <c r="K95" s="9"/>
      <c r="L95" s="9"/>
      <c r="M95" s="9"/>
    </row>
    <row r="96" spans="1:14" ht="16.5" thickBot="1">
      <c r="A96" s="19"/>
      <c r="D96" s="9"/>
      <c r="E96" s="77"/>
      <c r="F96" s="9"/>
      <c r="G96" s="9"/>
      <c r="H96" s="9"/>
      <c r="I96" s="9"/>
      <c r="J96" s="77"/>
      <c r="K96" s="9"/>
    </row>
    <row r="97" spans="1:14" ht="16.5" thickBot="1">
      <c r="A97" s="19">
        <f>+A95+1</f>
        <v>30</v>
      </c>
      <c r="C97" s="2" t="str">
        <f>"RATE BASE  (sum lines "&amp;A78&amp;", "&amp;A87&amp;", "&amp;A89&amp;", &amp; "&amp;A95&amp;")"</f>
        <v>RATE BASE  (sum lines 15, 23, 24, &amp; 29)</v>
      </c>
      <c r="D97" s="9"/>
      <c r="E97" s="78">
        <f>+E78+E87+E89+E95</f>
        <v>42014019.056108467</v>
      </c>
      <c r="F97" s="9"/>
      <c r="G97" s="9"/>
      <c r="H97" s="63"/>
      <c r="I97" s="9"/>
      <c r="J97" s="78">
        <f>+J78+J87+J89+J95</f>
        <v>42014019.056108467</v>
      </c>
      <c r="K97" s="9"/>
      <c r="L97" s="9"/>
      <c r="M97" s="9"/>
    </row>
    <row r="98" spans="1:14" ht="16.5" thickTop="1">
      <c r="A98" s="19"/>
      <c r="C98" s="3"/>
      <c r="D98" s="3"/>
      <c r="E98" s="4"/>
      <c r="F98" s="3"/>
      <c r="G98" s="3"/>
      <c r="H98" s="3"/>
      <c r="I98" s="3"/>
      <c r="J98" s="79"/>
      <c r="L98" s="7"/>
      <c r="M98" s="5" t="s">
        <v>0</v>
      </c>
    </row>
    <row r="99" spans="1:14">
      <c r="A99" s="19"/>
      <c r="C99" s="3" t="s">
        <v>37</v>
      </c>
      <c r="D99" s="8"/>
      <c r="E99" s="8" t="s">
        <v>2</v>
      </c>
      <c r="F99" s="3"/>
      <c r="G99" s="3"/>
      <c r="H99" s="3"/>
      <c r="I99" s="3"/>
      <c r="J99" s="36"/>
      <c r="M99" s="7" t="s">
        <v>101</v>
      </c>
    </row>
    <row r="100" spans="1:14">
      <c r="A100" s="19"/>
      <c r="C100" s="3"/>
      <c r="D100" s="9" t="s">
        <v>3</v>
      </c>
      <c r="E100" s="9" t="s">
        <v>4</v>
      </c>
      <c r="F100" s="9"/>
      <c r="G100" s="9"/>
      <c r="H100" s="9"/>
      <c r="I100" s="3"/>
      <c r="J100" s="79"/>
    </row>
    <row r="101" spans="1:14">
      <c r="A101" s="19"/>
      <c r="C101" s="3"/>
      <c r="D101" s="9"/>
      <c r="E101" s="45"/>
      <c r="F101" s="9"/>
      <c r="G101" s="6"/>
      <c r="H101" s="9"/>
      <c r="I101" s="3"/>
      <c r="J101" s="79"/>
      <c r="K101" s="14"/>
      <c r="L101" s="14"/>
      <c r="M101" s="10" t="str">
        <f>+M57</f>
        <v>For the 12 months ended 12/31/2020</v>
      </c>
    </row>
    <row r="102" spans="1:14">
      <c r="A102" s="19"/>
      <c r="D102" s="47" t="s">
        <v>55</v>
      </c>
      <c r="E102" s="15"/>
      <c r="F102" s="15"/>
      <c r="G102" s="15"/>
      <c r="J102" s="36"/>
      <c r="K102" s="9"/>
      <c r="L102" s="9"/>
      <c r="M102" s="49"/>
    </row>
    <row r="103" spans="1:14">
      <c r="A103" s="19"/>
      <c r="E103" s="6"/>
      <c r="J103" s="36"/>
      <c r="K103" s="9"/>
      <c r="L103" s="9"/>
      <c r="M103" s="49"/>
    </row>
    <row r="104" spans="1:14">
      <c r="A104" s="19"/>
      <c r="C104" s="50" t="s">
        <v>38</v>
      </c>
      <c r="D104" s="50" t="s">
        <v>39</v>
      </c>
      <c r="E104" s="50" t="s">
        <v>40</v>
      </c>
      <c r="F104" s="9" t="s">
        <v>3</v>
      </c>
      <c r="G104" s="9"/>
      <c r="H104" s="51" t="s">
        <v>56</v>
      </c>
      <c r="I104" s="9"/>
      <c r="J104" s="80" t="s">
        <v>57</v>
      </c>
      <c r="K104" s="9"/>
      <c r="L104" s="28"/>
      <c r="M104" s="28"/>
    </row>
    <row r="105" spans="1:14">
      <c r="A105" s="19"/>
      <c r="C105" s="50"/>
      <c r="D105" s="3"/>
      <c r="E105" s="3"/>
      <c r="F105" s="3"/>
      <c r="G105" s="3"/>
      <c r="H105" s="3"/>
      <c r="I105" s="3"/>
      <c r="J105" s="79"/>
      <c r="K105" s="3"/>
      <c r="L105" s="53"/>
      <c r="M105" s="3"/>
    </row>
    <row r="106" spans="1:14">
      <c r="A106" s="19"/>
      <c r="D106" s="52"/>
      <c r="E106" s="9"/>
      <c r="F106" s="9"/>
      <c r="G106" s="9"/>
      <c r="H106" s="19"/>
      <c r="I106" s="9"/>
      <c r="J106" s="81" t="s">
        <v>58</v>
      </c>
      <c r="K106" s="9"/>
      <c r="L106" s="50"/>
      <c r="M106" s="50"/>
    </row>
    <row r="107" spans="1:14">
      <c r="A107" s="19"/>
      <c r="D107" s="54" t="s">
        <v>59</v>
      </c>
      <c r="E107" s="53" t="s">
        <v>60</v>
      </c>
      <c r="F107" s="55"/>
      <c r="G107" s="53" t="s">
        <v>61</v>
      </c>
      <c r="I107" s="55"/>
      <c r="J107" s="82" t="s">
        <v>62</v>
      </c>
      <c r="K107" s="9"/>
      <c r="L107" s="19"/>
      <c r="M107" s="19"/>
    </row>
    <row r="108" spans="1:14">
      <c r="A108" s="19"/>
      <c r="D108" s="9"/>
      <c r="E108" s="83"/>
      <c r="F108" s="84"/>
      <c r="G108" s="54"/>
      <c r="I108" s="84"/>
      <c r="J108" s="36"/>
    </row>
    <row r="109" spans="1:14">
      <c r="A109" s="19">
        <f>+A97+1</f>
        <v>31</v>
      </c>
      <c r="C109" s="2" t="s">
        <v>102</v>
      </c>
      <c r="D109" s="9"/>
      <c r="E109" s="9"/>
      <c r="I109" s="9"/>
      <c r="J109" s="36"/>
    </row>
    <row r="110" spans="1:14">
      <c r="A110" s="19">
        <f t="shared" ref="A110:A117" si="3">+A109+1</f>
        <v>32</v>
      </c>
      <c r="C110" s="2" t="s">
        <v>65</v>
      </c>
      <c r="D110" s="9" t="s">
        <v>103</v>
      </c>
      <c r="E110" s="85">
        <v>2311615</v>
      </c>
      <c r="F110" s="9"/>
      <c r="G110" s="9" t="s">
        <v>67</v>
      </c>
      <c r="H110" s="35">
        <f>+J177</f>
        <v>1</v>
      </c>
      <c r="I110" s="9"/>
      <c r="J110" s="36">
        <f t="shared" ref="J110:J117" si="4">+H110*E110</f>
        <v>2311615</v>
      </c>
      <c r="K110" s="9"/>
      <c r="L110" s="9"/>
      <c r="M110" s="9"/>
      <c r="N110" s="86"/>
    </row>
    <row r="111" spans="1:14">
      <c r="A111" s="19">
        <f t="shared" si="3"/>
        <v>33</v>
      </c>
      <c r="C111" s="2" t="s">
        <v>104</v>
      </c>
      <c r="D111" s="9" t="s">
        <v>105</v>
      </c>
      <c r="E111" s="85">
        <v>4888</v>
      </c>
      <c r="F111" s="9"/>
      <c r="G111" s="9" t="s">
        <v>67</v>
      </c>
      <c r="H111" s="35">
        <f>+H110</f>
        <v>1</v>
      </c>
      <c r="I111" s="9"/>
      <c r="J111" s="36">
        <f t="shared" si="4"/>
        <v>4888</v>
      </c>
      <c r="K111" s="9"/>
      <c r="L111" s="9"/>
      <c r="M111" s="9"/>
      <c r="N111" s="86"/>
    </row>
    <row r="112" spans="1:14">
      <c r="A112" s="19" t="s">
        <v>106</v>
      </c>
      <c r="C112" s="2" t="s">
        <v>107</v>
      </c>
      <c r="D112" s="9" t="s">
        <v>108</v>
      </c>
      <c r="E112" s="87">
        <v>4888</v>
      </c>
      <c r="F112" s="9"/>
      <c r="G112" s="9" t="s">
        <v>52</v>
      </c>
      <c r="H112" s="88">
        <v>1</v>
      </c>
      <c r="I112" s="9"/>
      <c r="J112" s="36">
        <f t="shared" si="4"/>
        <v>4888</v>
      </c>
      <c r="K112" s="9"/>
      <c r="L112" s="9"/>
      <c r="M112" s="9"/>
      <c r="N112" s="86"/>
    </row>
    <row r="113" spans="1:14">
      <c r="A113" s="19" t="s">
        <v>109</v>
      </c>
      <c r="C113" s="2" t="s">
        <v>110</v>
      </c>
      <c r="D113" s="9" t="s">
        <v>111</v>
      </c>
      <c r="E113" s="56">
        <f>+'2a - Cost Support'!E144</f>
        <v>396942.74286000006</v>
      </c>
      <c r="F113" s="9"/>
      <c r="G113" s="9" t="s">
        <v>52</v>
      </c>
      <c r="H113" s="88">
        <v>1</v>
      </c>
      <c r="I113" s="9"/>
      <c r="J113" s="36">
        <f t="shared" si="4"/>
        <v>396942.74286000006</v>
      </c>
      <c r="K113" s="9"/>
      <c r="L113" s="9"/>
      <c r="M113" s="9"/>
      <c r="N113" s="86"/>
    </row>
    <row r="114" spans="1:14">
      <c r="A114" s="19">
        <f>+A111+1</f>
        <v>34</v>
      </c>
      <c r="C114" s="2" t="s">
        <v>112</v>
      </c>
      <c r="D114" s="9" t="s">
        <v>113</v>
      </c>
      <c r="E114" s="85">
        <v>407137</v>
      </c>
      <c r="F114" s="9"/>
      <c r="G114" s="9" t="s">
        <v>70</v>
      </c>
      <c r="H114" s="88">
        <f>+J$183</f>
        <v>1</v>
      </c>
      <c r="I114" s="9"/>
      <c r="J114" s="36">
        <f t="shared" si="4"/>
        <v>407137</v>
      </c>
      <c r="K114" s="9"/>
      <c r="L114" s="9"/>
      <c r="M114" s="9"/>
    </row>
    <row r="115" spans="1:14">
      <c r="A115" s="19">
        <f t="shared" si="3"/>
        <v>35</v>
      </c>
      <c r="C115" s="2" t="s">
        <v>114</v>
      </c>
      <c r="D115" s="2" t="s">
        <v>115</v>
      </c>
      <c r="E115" s="56">
        <f>+'2a - Cost Support'!G76+'2a - Cost Support'!G89+'2a - Cost Support'!I107</f>
        <v>0</v>
      </c>
      <c r="F115" s="9"/>
      <c r="G115" s="9" t="s">
        <v>70</v>
      </c>
      <c r="H115" s="35">
        <f>+J$183</f>
        <v>1</v>
      </c>
      <c r="I115" s="9"/>
      <c r="J115" s="36">
        <f t="shared" si="4"/>
        <v>0</v>
      </c>
      <c r="K115" s="9"/>
      <c r="L115" s="9"/>
      <c r="M115" s="9"/>
    </row>
    <row r="116" spans="1:14">
      <c r="A116" s="19">
        <f t="shared" si="3"/>
        <v>36</v>
      </c>
      <c r="C116" s="2" t="s">
        <v>116</v>
      </c>
      <c r="D116" s="2" t="s">
        <v>117</v>
      </c>
      <c r="E116" s="56">
        <f>+'2a - Cost Support'!H89</f>
        <v>0</v>
      </c>
      <c r="F116" s="9"/>
      <c r="G116" s="9" t="s">
        <v>70</v>
      </c>
      <c r="H116" s="35">
        <f>+J$183</f>
        <v>1</v>
      </c>
      <c r="I116" s="9"/>
      <c r="J116" s="36">
        <f t="shared" si="4"/>
        <v>0</v>
      </c>
      <c r="K116" s="9"/>
      <c r="L116" s="9"/>
      <c r="M116" s="9"/>
    </row>
    <row r="117" spans="1:14">
      <c r="A117" s="19">
        <f t="shared" si="3"/>
        <v>37</v>
      </c>
      <c r="C117" s="2" t="s">
        <v>118</v>
      </c>
      <c r="D117" s="9" t="s">
        <v>119</v>
      </c>
      <c r="E117" s="56">
        <f>+'2a - Cost Support'!E167</f>
        <v>0</v>
      </c>
      <c r="F117" s="9"/>
      <c r="G117" s="9" t="s">
        <v>70</v>
      </c>
      <c r="H117" s="35">
        <f>+J$183</f>
        <v>1</v>
      </c>
      <c r="I117" s="9"/>
      <c r="J117" s="36">
        <f t="shared" si="4"/>
        <v>0</v>
      </c>
      <c r="K117" s="9"/>
      <c r="L117" s="9"/>
      <c r="M117" s="9"/>
    </row>
    <row r="118" spans="1:14">
      <c r="A118" s="19">
        <f>+A117+1</f>
        <v>38</v>
      </c>
      <c r="C118" s="2" t="str">
        <f>"TOTAL O&amp;M and A&amp;G  (sum lines "&amp;A110&amp;", "&amp;A112&amp;", "&amp;A113&amp;",  "&amp;A114&amp;", "&amp;A116&amp;", "&amp;A117&amp;" less lines "&amp;A111&amp;" &amp; "&amp;A115&amp;")"</f>
        <v>TOTAL O&amp;M and A&amp;G  (sum lines 32, 33a, 33b,  34, 36, 37 less lines 33 &amp; 35)</v>
      </c>
      <c r="D118" s="9"/>
      <c r="E118" s="36">
        <f>E110+E112+E113+E114+E116+E117-E111-E115</f>
        <v>3115694.7428600001</v>
      </c>
      <c r="F118" s="36"/>
      <c r="G118" s="9"/>
      <c r="H118" s="9"/>
      <c r="I118" s="9"/>
      <c r="J118" s="36">
        <f>+J110+J114+J116+J117-J111-J115+J112+J113</f>
        <v>3115694.7428600001</v>
      </c>
      <c r="K118" s="9"/>
      <c r="L118" s="9"/>
      <c r="M118" s="9"/>
    </row>
    <row r="119" spans="1:14">
      <c r="A119" s="19"/>
      <c r="D119" s="9"/>
      <c r="E119" s="36"/>
      <c r="F119" s="9"/>
      <c r="G119" s="9"/>
      <c r="H119" s="9"/>
      <c r="I119" s="9"/>
      <c r="J119" s="36"/>
      <c r="K119" s="9"/>
      <c r="L119" s="9"/>
      <c r="M119" s="9"/>
    </row>
    <row r="120" spans="1:14">
      <c r="A120" s="19">
        <f>+A118+1</f>
        <v>39</v>
      </c>
      <c r="C120" s="2" t="s">
        <v>120</v>
      </c>
      <c r="D120" s="9"/>
      <c r="E120" s="36"/>
      <c r="F120" s="9"/>
      <c r="G120" s="9"/>
      <c r="H120" s="9"/>
      <c r="I120" s="9"/>
      <c r="J120" s="36"/>
      <c r="K120" s="9"/>
      <c r="L120" s="9"/>
      <c r="M120" s="9"/>
    </row>
    <row r="121" spans="1:14">
      <c r="A121" s="19">
        <f>+A120+1</f>
        <v>40</v>
      </c>
      <c r="C121" s="2" t="str">
        <f>+C110</f>
        <v xml:space="preserve">  Transmission </v>
      </c>
      <c r="D121" s="9" t="s">
        <v>121</v>
      </c>
      <c r="E121" s="85">
        <v>1047388</v>
      </c>
      <c r="F121" s="9"/>
      <c r="G121" s="9" t="s">
        <v>67</v>
      </c>
      <c r="H121" s="35">
        <f>+J$177</f>
        <v>1</v>
      </c>
      <c r="I121" s="9"/>
      <c r="J121" s="36">
        <f>+H121*E121</f>
        <v>1047388</v>
      </c>
      <c r="K121" s="9"/>
      <c r="L121" s="9"/>
      <c r="M121" s="9"/>
      <c r="N121" s="86"/>
    </row>
    <row r="122" spans="1:14">
      <c r="A122" s="19">
        <f>+A121+1</f>
        <v>41</v>
      </c>
      <c r="C122" s="2" t="s">
        <v>122</v>
      </c>
      <c r="D122" s="9" t="s">
        <v>123</v>
      </c>
      <c r="E122" s="85">
        <v>419</v>
      </c>
      <c r="F122" s="9"/>
      <c r="G122" s="9" t="s">
        <v>70</v>
      </c>
      <c r="H122" s="35">
        <f>+J$183</f>
        <v>1</v>
      </c>
      <c r="I122" s="9"/>
      <c r="J122" s="36">
        <f>+H122*E122</f>
        <v>419</v>
      </c>
      <c r="K122" s="9"/>
      <c r="L122" s="9"/>
      <c r="M122" s="9"/>
      <c r="N122" s="89"/>
    </row>
    <row r="123" spans="1:14">
      <c r="A123" s="19">
        <f>+A122+1</f>
        <v>42</v>
      </c>
      <c r="C123" s="69" t="s">
        <v>124</v>
      </c>
      <c r="D123" s="70" t="s">
        <v>125</v>
      </c>
      <c r="E123" s="71">
        <f>+'2a - Cost Support'!F9</f>
        <v>0</v>
      </c>
      <c r="F123" s="70"/>
      <c r="G123" s="70" t="s">
        <v>52</v>
      </c>
      <c r="H123" s="72">
        <v>1</v>
      </c>
      <c r="I123" s="70"/>
      <c r="J123" s="73">
        <f>+H123*E123</f>
        <v>0</v>
      </c>
      <c r="K123" s="9"/>
      <c r="L123" s="9"/>
      <c r="M123" s="9"/>
      <c r="N123" s="89"/>
    </row>
    <row r="124" spans="1:14">
      <c r="A124" s="19">
        <f>+A123+1</f>
        <v>43</v>
      </c>
      <c r="C124" s="74" t="str">
        <f>"TOTAL DEPRECIATION (Sum lines "&amp;A121&amp;"-"&amp;A123&amp;")"</f>
        <v>TOTAL DEPRECIATION (Sum lines 40-42)</v>
      </c>
      <c r="D124" s="9"/>
      <c r="E124" s="36">
        <f>SUM(E121:E123)</f>
        <v>1047807</v>
      </c>
      <c r="F124" s="9"/>
      <c r="G124" s="9"/>
      <c r="H124" s="35"/>
      <c r="I124" s="9"/>
      <c r="J124" s="36">
        <f>SUM(J121:J123)</f>
        <v>1047807</v>
      </c>
      <c r="K124" s="9"/>
      <c r="L124" s="9"/>
      <c r="M124" s="9"/>
    </row>
    <row r="125" spans="1:14">
      <c r="A125" s="19"/>
      <c r="D125" s="9"/>
      <c r="E125" s="36"/>
      <c r="F125" s="9"/>
      <c r="G125" s="9"/>
      <c r="H125" s="35"/>
      <c r="I125" s="9"/>
      <c r="J125" s="36"/>
      <c r="K125" s="9"/>
      <c r="L125" s="9"/>
      <c r="M125" s="9"/>
    </row>
    <row r="126" spans="1:14">
      <c r="A126" s="19">
        <f>+A124+1</f>
        <v>44</v>
      </c>
      <c r="C126" s="2" t="str">
        <f>"TAXES OTHER THAN INCOME TAXES  (Note "&amp;A227&amp;")"</f>
        <v>TAXES OTHER THAN INCOME TAXES  (Note E)</v>
      </c>
      <c r="E126" s="36"/>
      <c r="F126" s="9"/>
      <c r="G126" s="9"/>
      <c r="H126" s="35"/>
      <c r="I126" s="9"/>
      <c r="J126" s="36"/>
      <c r="K126" s="9"/>
      <c r="L126" s="9"/>
      <c r="M126" s="9"/>
    </row>
    <row r="127" spans="1:14">
      <c r="A127" s="19">
        <f t="shared" ref="A127:A133" si="5">+A126+1</f>
        <v>45</v>
      </c>
      <c r="C127" s="2" t="s">
        <v>126</v>
      </c>
      <c r="E127" s="36"/>
      <c r="F127" s="9"/>
      <c r="G127" s="9"/>
      <c r="H127" s="35"/>
      <c r="I127" s="9"/>
      <c r="J127" s="36"/>
      <c r="K127" s="9"/>
      <c r="L127" s="9"/>
      <c r="M127" s="9"/>
    </row>
    <row r="128" spans="1:14">
      <c r="A128" s="19">
        <f t="shared" si="5"/>
        <v>46</v>
      </c>
      <c r="C128" s="2" t="s">
        <v>127</v>
      </c>
      <c r="D128" s="90" t="s">
        <v>128</v>
      </c>
      <c r="E128" s="85">
        <v>0</v>
      </c>
      <c r="F128" s="9"/>
      <c r="G128" s="9" t="s">
        <v>70</v>
      </c>
      <c r="H128" s="35">
        <f>+J$183</f>
        <v>1</v>
      </c>
      <c r="I128" s="9"/>
      <c r="J128" s="36">
        <f>+H128*E128</f>
        <v>0</v>
      </c>
      <c r="K128" s="9"/>
      <c r="L128" s="9"/>
      <c r="M128" s="9"/>
    </row>
    <row r="129" spans="1:14">
      <c r="A129" s="19">
        <f t="shared" si="5"/>
        <v>47</v>
      </c>
      <c r="C129" s="2" t="s">
        <v>129</v>
      </c>
      <c r="D129" s="90" t="s">
        <v>128</v>
      </c>
      <c r="E129" s="85">
        <v>0</v>
      </c>
      <c r="F129" s="9"/>
      <c r="G129" s="9" t="str">
        <f>+G128</f>
        <v>W/S</v>
      </c>
      <c r="H129" s="35">
        <f>+J$183</f>
        <v>1</v>
      </c>
      <c r="I129" s="9"/>
      <c r="J129" s="36">
        <f>+H129*E129</f>
        <v>0</v>
      </c>
      <c r="K129" s="9"/>
      <c r="L129" s="9"/>
      <c r="M129" s="9"/>
    </row>
    <row r="130" spans="1:14">
      <c r="A130" s="19">
        <f t="shared" si="5"/>
        <v>48</v>
      </c>
      <c r="C130" s="2" t="s">
        <v>130</v>
      </c>
      <c r="D130" s="91" t="s">
        <v>3</v>
      </c>
      <c r="E130" s="36"/>
      <c r="F130" s="9"/>
      <c r="G130" s="9"/>
      <c r="H130" s="35"/>
      <c r="I130" s="9"/>
      <c r="J130" s="36"/>
      <c r="K130" s="9"/>
      <c r="L130" s="9"/>
      <c r="M130" s="9"/>
    </row>
    <row r="131" spans="1:14">
      <c r="A131" s="19">
        <f t="shared" si="5"/>
        <v>49</v>
      </c>
      <c r="C131" s="2" t="s">
        <v>131</v>
      </c>
      <c r="D131" s="90" t="s">
        <v>132</v>
      </c>
      <c r="E131" s="85">
        <v>451907</v>
      </c>
      <c r="F131" s="9"/>
      <c r="G131" s="9" t="s">
        <v>100</v>
      </c>
      <c r="H131" s="66">
        <f>+H$68</f>
        <v>1</v>
      </c>
      <c r="I131" s="9"/>
      <c r="J131" s="36">
        <f>+H131*E131</f>
        <v>451907</v>
      </c>
      <c r="L131" s="92"/>
      <c r="M131" s="9"/>
    </row>
    <row r="132" spans="1:14">
      <c r="A132" s="19">
        <f t="shared" si="5"/>
        <v>50</v>
      </c>
      <c r="C132" s="2" t="s">
        <v>133</v>
      </c>
      <c r="D132" s="90" t="s">
        <v>128</v>
      </c>
      <c r="E132" s="85">
        <v>0</v>
      </c>
      <c r="F132" s="9"/>
      <c r="G132" s="9" t="s">
        <v>134</v>
      </c>
      <c r="H132" s="93">
        <v>0</v>
      </c>
      <c r="I132" s="9"/>
      <c r="J132" s="36">
        <f>+H132*E132</f>
        <v>0</v>
      </c>
      <c r="K132" s="9"/>
      <c r="L132" s="9"/>
      <c r="M132" s="9"/>
    </row>
    <row r="133" spans="1:14">
      <c r="A133" s="19">
        <f t="shared" si="5"/>
        <v>51</v>
      </c>
      <c r="C133" s="2" t="s">
        <v>135</v>
      </c>
      <c r="D133" s="90" t="s">
        <v>128</v>
      </c>
      <c r="E133" s="85">
        <v>0</v>
      </c>
      <c r="F133" s="9"/>
      <c r="G133" s="9" t="str">
        <f>+G131</f>
        <v>GP</v>
      </c>
      <c r="H133" s="66">
        <f>+H$68</f>
        <v>1</v>
      </c>
      <c r="I133" s="9"/>
      <c r="J133" s="36">
        <f>+H133*E133</f>
        <v>0</v>
      </c>
      <c r="K133" s="9"/>
      <c r="L133" s="9"/>
      <c r="M133" s="9"/>
    </row>
    <row r="134" spans="1:14">
      <c r="A134" s="19">
        <f>+A133+1</f>
        <v>52</v>
      </c>
      <c r="C134" s="2" t="str">
        <f>"TOTAL OTHER TAXES  (sum lines "&amp;A128&amp;"-"&amp;A129&amp;" and lines "&amp;A131&amp;"-"&amp;A133&amp;")"</f>
        <v>TOTAL OTHER TAXES  (sum lines 46-47 and lines 49-51)</v>
      </c>
      <c r="D134" s="9"/>
      <c r="E134" s="36">
        <f>SUM(E128:E133)</f>
        <v>451907</v>
      </c>
      <c r="F134" s="9"/>
      <c r="G134" s="9"/>
      <c r="H134" s="35"/>
      <c r="I134" s="9"/>
      <c r="J134" s="36">
        <f>SUM(J128:J133)</f>
        <v>451907</v>
      </c>
      <c r="K134" s="9"/>
      <c r="L134" s="9"/>
      <c r="M134" s="9"/>
    </row>
    <row r="135" spans="1:14">
      <c r="A135" s="19"/>
      <c r="D135" s="9"/>
      <c r="E135" s="9"/>
      <c r="F135" s="9"/>
      <c r="G135" s="9"/>
      <c r="H135" s="35"/>
      <c r="I135" s="9"/>
      <c r="J135" s="36"/>
      <c r="K135" s="9"/>
      <c r="L135" s="9"/>
      <c r="M135" s="9"/>
    </row>
    <row r="136" spans="1:14">
      <c r="A136" s="19">
        <f>+A134+1</f>
        <v>53</v>
      </c>
      <c r="C136" s="2" t="s">
        <v>136</v>
      </c>
      <c r="D136" s="9" t="str">
        <f>" (Note "&amp;A228&amp;")"</f>
        <v xml:space="preserve"> (Note F)</v>
      </c>
      <c r="E136" s="9"/>
      <c r="F136" s="9"/>
      <c r="H136" s="62"/>
      <c r="I136" s="9"/>
      <c r="J136" s="36"/>
      <c r="K136" s="9"/>
      <c r="L136" s="9"/>
      <c r="M136" s="9"/>
      <c r="N136" s="89"/>
    </row>
    <row r="137" spans="1:14">
      <c r="A137" s="19">
        <f t="shared" ref="A137:A142" si="6">+A136+1</f>
        <v>54</v>
      </c>
      <c r="C137" s="94" t="s">
        <v>137</v>
      </c>
      <c r="D137" s="9"/>
      <c r="E137" s="93">
        <f>IF(E229&gt;0,1-(((1-E230)*(1-E229))/(1-E230*E229*E231)),0)</f>
        <v>0.27983599999999997</v>
      </c>
      <c r="F137" s="9"/>
      <c r="H137" s="95"/>
      <c r="I137" s="9"/>
      <c r="J137" s="36"/>
      <c r="K137" s="9"/>
      <c r="L137" s="9"/>
      <c r="M137" s="9"/>
      <c r="N137" s="89"/>
    </row>
    <row r="138" spans="1:14">
      <c r="A138" s="19">
        <f t="shared" si="6"/>
        <v>55</v>
      </c>
      <c r="C138" s="2" t="s">
        <v>138</v>
      </c>
      <c r="D138" s="9"/>
      <c r="E138" s="93">
        <f>IF(J190&gt;0,(E137/(1-E137))*(1-J187/J190),0)</f>
        <v>0.34508178195871375</v>
      </c>
      <c r="F138" s="9"/>
      <c r="H138" s="95"/>
      <c r="I138" s="9"/>
      <c r="J138" s="36"/>
      <c r="K138" s="9"/>
      <c r="L138" s="9"/>
      <c r="M138" s="9"/>
      <c r="N138" s="89"/>
    </row>
    <row r="139" spans="1:14">
      <c r="A139" s="19">
        <f t="shared" si="6"/>
        <v>56</v>
      </c>
      <c r="C139" s="2" t="str">
        <f>"       where WCLTD=(line "&amp;A187&amp;") and R= (line "&amp;A190&amp;")"</f>
        <v xml:space="preserve">       where WCLTD=(line 80) and R= (line 83)</v>
      </c>
      <c r="D139" s="9"/>
      <c r="E139" s="9"/>
      <c r="F139" s="9"/>
      <c r="H139" s="95"/>
      <c r="I139" s="9"/>
      <c r="J139" s="36"/>
      <c r="K139" s="9"/>
      <c r="L139" s="9"/>
      <c r="M139" s="9"/>
      <c r="N139" s="89"/>
    </row>
    <row r="140" spans="1:14">
      <c r="A140" s="19">
        <f t="shared" si="6"/>
        <v>57</v>
      </c>
      <c r="C140" s="2" t="str">
        <f>"       and FIT, SIT &amp; p are as given in footnote "&amp;A228&amp;"."</f>
        <v xml:space="preserve">       and FIT, SIT &amp; p are as given in footnote F.</v>
      </c>
      <c r="D140" s="9"/>
      <c r="E140" s="9"/>
      <c r="F140" s="9"/>
      <c r="H140" s="95"/>
      <c r="I140" s="9"/>
      <c r="J140" s="36"/>
      <c r="K140" s="9"/>
      <c r="L140" s="9"/>
      <c r="M140" s="9"/>
      <c r="N140" s="89"/>
    </row>
    <row r="141" spans="1:14">
      <c r="A141" s="19">
        <f t="shared" si="6"/>
        <v>58</v>
      </c>
      <c r="C141" s="94" t="str">
        <f>"      1 / (1 - T)  = (T from line "&amp;A137&amp;")"</f>
        <v xml:space="preserve">      1 / (1 - T)  = (T from line 54)</v>
      </c>
      <c r="D141" s="9"/>
      <c r="E141" s="93">
        <f>IF(E137&gt;0,1/(1-E137),0)</f>
        <v>1.3885726029071155</v>
      </c>
      <c r="F141" s="9"/>
      <c r="H141" s="95"/>
      <c r="I141" s="9"/>
      <c r="J141" s="36"/>
      <c r="K141" s="9"/>
      <c r="L141" s="9"/>
      <c r="M141" s="9"/>
      <c r="N141" s="89"/>
    </row>
    <row r="142" spans="1:14">
      <c r="A142" s="19">
        <f t="shared" si="6"/>
        <v>59</v>
      </c>
      <c r="C142" s="2" t="s">
        <v>139</v>
      </c>
      <c r="D142" s="9"/>
      <c r="E142" s="85">
        <v>0</v>
      </c>
      <c r="F142" s="9"/>
      <c r="H142" s="95"/>
      <c r="I142" s="9"/>
      <c r="J142" s="36"/>
      <c r="K142" s="9"/>
      <c r="L142" s="9"/>
      <c r="M142" s="9"/>
      <c r="N142" s="89"/>
    </row>
    <row r="143" spans="1:14">
      <c r="A143" s="19" t="s">
        <v>140</v>
      </c>
      <c r="C143" s="2" t="s">
        <v>141</v>
      </c>
      <c r="D143" s="9" t="s">
        <v>142</v>
      </c>
      <c r="E143" s="85">
        <f>'12 - Income Tax Adjustment'!D10</f>
        <v>-516468</v>
      </c>
      <c r="F143" s="9"/>
      <c r="H143" s="95"/>
      <c r="I143" s="9"/>
      <c r="J143" s="36"/>
      <c r="K143" s="9"/>
      <c r="L143" s="9"/>
      <c r="M143" s="9"/>
      <c r="N143" s="89"/>
    </row>
    <row r="144" spans="1:14">
      <c r="A144" s="19"/>
      <c r="D144" s="9"/>
      <c r="E144" s="36"/>
      <c r="F144" s="9"/>
      <c r="H144" s="95"/>
      <c r="I144" s="9"/>
      <c r="J144" s="36"/>
      <c r="K144" s="9"/>
      <c r="L144" s="9"/>
      <c r="M144" s="9"/>
      <c r="N144" s="89"/>
    </row>
    <row r="145" spans="1:14">
      <c r="A145" s="19">
        <f>+A142+1</f>
        <v>60</v>
      </c>
      <c r="C145" s="94" t="str">
        <f>"Income Tax Calculation = line "&amp;A138&amp;" * line "&amp;A151&amp;""</f>
        <v>Income Tax Calculation = line 55 * line 64</v>
      </c>
      <c r="D145" s="96"/>
      <c r="E145" s="36">
        <f>+E138*E151</f>
        <v>1141243.2973317239</v>
      </c>
      <c r="F145" s="9"/>
      <c r="G145" s="9" t="s">
        <v>134</v>
      </c>
      <c r="H145" s="41"/>
      <c r="I145" s="9"/>
      <c r="J145" s="36">
        <f>+E138*J151</f>
        <v>1141243.2973317239</v>
      </c>
      <c r="K145" s="9"/>
      <c r="L145" s="9"/>
      <c r="M145" s="9"/>
    </row>
    <row r="146" spans="1:14">
      <c r="A146" s="19">
        <f>+A145+1</f>
        <v>61</v>
      </c>
      <c r="C146" s="2" t="str">
        <f>"ITC adjustment (line "&amp;A141&amp;" * line "&amp;A142&amp;")"</f>
        <v>ITC adjustment (line 58 * line 59)</v>
      </c>
      <c r="D146" s="96"/>
      <c r="E146" s="97">
        <f>+E141*E142</f>
        <v>0</v>
      </c>
      <c r="F146" s="9"/>
      <c r="G146" s="2" t="s">
        <v>83</v>
      </c>
      <c r="H146" s="68">
        <f>+H$78</f>
        <v>1</v>
      </c>
      <c r="I146" s="9"/>
      <c r="J146" s="97">
        <f>+H146*E146</f>
        <v>0</v>
      </c>
      <c r="K146" s="9"/>
      <c r="L146" s="9"/>
      <c r="M146" s="9"/>
    </row>
    <row r="147" spans="1:14">
      <c r="A147" s="19" t="s">
        <v>143</v>
      </c>
      <c r="C147" s="2" t="s">
        <v>144</v>
      </c>
      <c r="D147" s="96"/>
      <c r="E147" s="97">
        <f>E137/(1-E137)*E143</f>
        <v>-200685.31507823215</v>
      </c>
      <c r="F147" s="9"/>
      <c r="H147" s="68"/>
      <c r="I147" s="9"/>
      <c r="J147" s="97">
        <f>E147</f>
        <v>-200685.31507823215</v>
      </c>
      <c r="K147" s="9"/>
      <c r="L147" s="9"/>
      <c r="M147" s="9"/>
    </row>
    <row r="148" spans="1:14" s="105" customFormat="1">
      <c r="A148" s="98">
        <f>+A146+1</f>
        <v>62</v>
      </c>
      <c r="B148" s="99"/>
      <c r="C148" s="100" t="s">
        <v>145</v>
      </c>
      <c r="D148" s="99" t="str">
        <f>"(line "&amp;A145&amp;" plus line "&amp;A146&amp;" plus line "&amp;A149&amp;")"</f>
        <v>(line 60 plus line 61 plus line )</v>
      </c>
      <c r="E148" s="101">
        <f>+E146+E145+E147</f>
        <v>940557.98225349165</v>
      </c>
      <c r="F148" s="102"/>
      <c r="G148" s="102" t="s">
        <v>3</v>
      </c>
      <c r="H148" s="103" t="s">
        <v>3</v>
      </c>
      <c r="I148" s="102"/>
      <c r="J148" s="101">
        <f>+J145+J146+J147</f>
        <v>940557.98225349165</v>
      </c>
      <c r="K148" s="102"/>
      <c r="L148" s="104"/>
      <c r="M148" s="102"/>
    </row>
    <row r="149" spans="1:14">
      <c r="A149" s="19"/>
      <c r="D149" s="106"/>
      <c r="E149" s="36"/>
      <c r="F149" s="9"/>
      <c r="G149" s="9"/>
      <c r="H149" s="41"/>
      <c r="I149" s="9"/>
      <c r="J149" s="36"/>
      <c r="K149" s="9"/>
      <c r="L149" s="106"/>
      <c r="M149" s="9"/>
    </row>
    <row r="150" spans="1:14">
      <c r="A150" s="19">
        <f>+A148+1</f>
        <v>63</v>
      </c>
      <c r="C150" s="2" t="s">
        <v>146</v>
      </c>
      <c r="D150" s="63"/>
      <c r="E150" s="36"/>
      <c r="H150" s="95"/>
      <c r="I150" s="9"/>
      <c r="K150" s="9"/>
      <c r="L150" s="106"/>
      <c r="M150" s="9"/>
      <c r="N150" s="89"/>
    </row>
    <row r="151" spans="1:14">
      <c r="A151" s="19">
        <f>+A150+1</f>
        <v>64</v>
      </c>
      <c r="C151" s="107" t="str">
        <f>"  [ Rate Base (line "&amp;A97&amp;") * Rate of Return (line "&amp;A190&amp;")]"</f>
        <v xml:space="preserve">  [ Rate Base (line 30) * Rate of Return (line 83)]</v>
      </c>
      <c r="E151" s="36">
        <f>+J190*E97</f>
        <v>3307167.6251754849</v>
      </c>
      <c r="F151" s="9"/>
      <c r="G151" s="9" t="s">
        <v>134</v>
      </c>
      <c r="H151" s="95"/>
      <c r="I151" s="9"/>
      <c r="J151" s="36">
        <f>+J97*J190</f>
        <v>3307167.6251754849</v>
      </c>
      <c r="K151" s="9"/>
      <c r="L151" s="106"/>
      <c r="M151" s="9"/>
      <c r="N151" s="89"/>
    </row>
    <row r="152" spans="1:14">
      <c r="A152" s="19"/>
      <c r="E152" s="9"/>
      <c r="F152" s="9"/>
      <c r="G152" s="9"/>
      <c r="H152" s="95"/>
      <c r="I152" s="9"/>
      <c r="J152" s="97"/>
      <c r="K152" s="9"/>
      <c r="L152" s="106"/>
      <c r="M152" s="9"/>
      <c r="N152" s="89"/>
    </row>
    <row r="153" spans="1:14">
      <c r="A153" s="19">
        <f>+A151+1</f>
        <v>65</v>
      </c>
      <c r="C153" s="2" t="str">
        <f>"Rev Requirement before Incenitive Projects  (sum lines "&amp;A118&amp;", "&amp;A124&amp;", "&amp;A134&amp;", "&amp;A148&amp;", "&amp;A151&amp;")"</f>
        <v>Rev Requirement before Incenitive Projects  (sum lines 38, 43, 52, 62, 64)</v>
      </c>
      <c r="E153" s="97">
        <f>+E118+E124+E134+E148+E151</f>
        <v>8863134.3502889778</v>
      </c>
      <c r="F153" s="9"/>
      <c r="G153" s="9"/>
      <c r="H153" s="95"/>
      <c r="I153" s="9"/>
      <c r="J153" s="97">
        <f>+J118+J124+J134+J148+J151</f>
        <v>8863134.3502889778</v>
      </c>
      <c r="K153" s="9"/>
      <c r="L153" s="106"/>
      <c r="M153" s="9"/>
      <c r="N153" s="89"/>
    </row>
    <row r="154" spans="1:14">
      <c r="A154" s="19"/>
      <c r="E154" s="108"/>
      <c r="F154" s="9"/>
      <c r="G154" s="9"/>
      <c r="H154" s="95"/>
      <c r="I154" s="9"/>
      <c r="J154" s="97"/>
      <c r="K154" s="9"/>
      <c r="L154" s="106"/>
      <c r="M154" s="9"/>
      <c r="N154" s="89"/>
    </row>
    <row r="155" spans="1:14">
      <c r="A155" s="19">
        <f>+A153+1</f>
        <v>66</v>
      </c>
      <c r="C155" s="2" t="s">
        <v>147</v>
      </c>
      <c r="D155" s="2" t="s">
        <v>148</v>
      </c>
      <c r="E155" s="67">
        <f>+'4 - Cap Adds'!L31</f>
        <v>0</v>
      </c>
      <c r="F155" s="9"/>
      <c r="G155" s="9" t="s">
        <v>52</v>
      </c>
      <c r="H155" s="62">
        <v>1</v>
      </c>
      <c r="I155" s="9"/>
      <c r="J155" s="97">
        <f>+H155*E155</f>
        <v>0</v>
      </c>
      <c r="L155" s="9"/>
      <c r="M155" s="9"/>
      <c r="N155" s="89"/>
    </row>
    <row r="156" spans="1:14">
      <c r="A156" s="19"/>
      <c r="E156" s="9"/>
      <c r="F156" s="9"/>
      <c r="G156" s="9"/>
      <c r="H156" s="95"/>
      <c r="I156" s="9"/>
      <c r="J156" s="97"/>
      <c r="K156" s="9"/>
      <c r="L156" s="9"/>
      <c r="M156" s="9"/>
      <c r="N156" s="89"/>
    </row>
    <row r="157" spans="1:14" ht="16.5" thickBot="1">
      <c r="A157" s="19">
        <f>+A155+1</f>
        <v>67</v>
      </c>
      <c r="C157" s="2" t="str">
        <f>"Total Revenue Requirement  (sum lines "&amp;A153&amp;" &amp; "&amp;A155&amp;")"</f>
        <v>Total Revenue Requirement  (sum lines 65 &amp; 66)</v>
      </c>
      <c r="D157" s="9"/>
      <c r="E157" s="78">
        <f>+E153+E155</f>
        <v>8863134.3502889778</v>
      </c>
      <c r="F157" s="9"/>
      <c r="G157" s="9"/>
      <c r="H157" s="9"/>
      <c r="I157" s="9"/>
      <c r="J157" s="78">
        <f>+J153+J155</f>
        <v>8863134.3502889778</v>
      </c>
      <c r="K157" s="9"/>
      <c r="L157" s="109"/>
      <c r="M157" s="9"/>
    </row>
    <row r="158" spans="1:14" ht="16.5" thickTop="1">
      <c r="A158" s="19"/>
      <c r="C158" s="3"/>
      <c r="D158" s="3"/>
      <c r="E158" s="4"/>
      <c r="F158" s="3"/>
      <c r="G158" s="3"/>
      <c r="H158" s="3"/>
      <c r="I158" s="3"/>
      <c r="J158" s="3"/>
      <c r="K158" s="19"/>
      <c r="L158" s="19"/>
      <c r="M158" s="5"/>
    </row>
    <row r="159" spans="1:14">
      <c r="A159" s="19"/>
      <c r="C159" s="3"/>
      <c r="D159" s="3"/>
      <c r="E159" s="4"/>
      <c r="F159" s="3"/>
      <c r="G159" s="3"/>
      <c r="H159" s="3"/>
      <c r="I159" s="3"/>
      <c r="J159" s="5"/>
      <c r="K159" s="5"/>
      <c r="L159" s="5"/>
      <c r="M159" s="5" t="s">
        <v>0</v>
      </c>
    </row>
    <row r="160" spans="1:14">
      <c r="A160" s="19"/>
      <c r="C160" s="3"/>
      <c r="D160" s="3"/>
      <c r="E160" s="4"/>
      <c r="F160" s="3"/>
      <c r="G160" s="3"/>
      <c r="H160" s="3"/>
      <c r="I160" s="3"/>
      <c r="J160" s="7"/>
      <c r="K160" s="7"/>
      <c r="L160" s="7"/>
      <c r="M160" s="7" t="s">
        <v>149</v>
      </c>
    </row>
    <row r="161" spans="1:13">
      <c r="A161" s="19"/>
      <c r="C161" s="3"/>
      <c r="D161" s="3"/>
      <c r="E161" s="4"/>
      <c r="F161" s="3"/>
      <c r="G161" s="3"/>
      <c r="H161" s="3"/>
      <c r="I161" s="3"/>
      <c r="J161" s="3"/>
      <c r="L161" s="7"/>
      <c r="M161" s="7"/>
    </row>
    <row r="162" spans="1:13">
      <c r="A162" s="19"/>
      <c r="C162" s="3"/>
      <c r="D162" s="3"/>
      <c r="E162" s="4"/>
      <c r="F162" s="3"/>
      <c r="G162" s="3"/>
      <c r="H162" s="3"/>
      <c r="I162" s="3"/>
      <c r="J162" s="3"/>
      <c r="L162" s="7"/>
    </row>
    <row r="163" spans="1:13">
      <c r="A163" s="19"/>
      <c r="C163" s="3" t="s">
        <v>37</v>
      </c>
      <c r="D163" s="8"/>
      <c r="E163" s="19" t="s">
        <v>150</v>
      </c>
      <c r="F163" s="3"/>
      <c r="G163" s="3"/>
      <c r="H163" s="3"/>
      <c r="I163" s="3"/>
    </row>
    <row r="164" spans="1:13">
      <c r="A164" s="19"/>
      <c r="C164" s="3"/>
      <c r="D164" s="9"/>
      <c r="E164" s="75" t="s">
        <v>4</v>
      </c>
      <c r="F164" s="9"/>
      <c r="G164" s="9"/>
      <c r="H164" s="9"/>
      <c r="I164" s="3"/>
      <c r="J164" s="3"/>
    </row>
    <row r="165" spans="1:13">
      <c r="A165" s="19"/>
      <c r="E165" s="21"/>
      <c r="G165" s="110"/>
      <c r="K165" s="14"/>
      <c r="L165" s="14"/>
      <c r="M165" s="10" t="str">
        <f>+M101</f>
        <v>For the 12 months ended 12/31/2020</v>
      </c>
    </row>
    <row r="166" spans="1:13">
      <c r="A166" s="19"/>
      <c r="D166" s="11" t="s">
        <v>151</v>
      </c>
      <c r="E166" s="111"/>
      <c r="F166" s="111"/>
      <c r="G166" s="111"/>
      <c r="M166" s="18"/>
    </row>
    <row r="167" spans="1:13">
      <c r="A167" s="19"/>
      <c r="E167" s="6"/>
      <c r="K167" s="9"/>
      <c r="M167" s="49"/>
    </row>
    <row r="168" spans="1:13">
      <c r="A168" s="19"/>
      <c r="E168" s="54" t="s">
        <v>152</v>
      </c>
      <c r="K168" s="9"/>
      <c r="L168" s="9"/>
    </row>
    <row r="169" spans="1:13">
      <c r="A169" s="19"/>
      <c r="C169" s="16"/>
      <c r="K169" s="9"/>
      <c r="L169" s="9"/>
    </row>
    <row r="170" spans="1:13">
      <c r="A170" s="19">
        <f>+A157+1</f>
        <v>68</v>
      </c>
      <c r="C170" s="3" t="s">
        <v>153</v>
      </c>
      <c r="J170" s="7"/>
      <c r="K170" s="49"/>
      <c r="L170" s="49"/>
      <c r="M170" s="7"/>
    </row>
    <row r="171" spans="1:13">
      <c r="A171" s="19"/>
      <c r="C171" s="3"/>
      <c r="J171" s="49"/>
      <c r="K171" s="49"/>
      <c r="L171" s="49"/>
      <c r="M171" s="49"/>
    </row>
    <row r="172" spans="1:13">
      <c r="A172" s="19">
        <f>+A170+1</f>
        <v>69</v>
      </c>
      <c r="C172" s="3" t="str">
        <f>"Total transmission plant    (line "&amp;A66&amp;", column 3)"</f>
        <v>Total transmission plant    (line 5, column 3)</v>
      </c>
      <c r="E172" s="9"/>
      <c r="F172" s="9"/>
      <c r="G172" s="9"/>
      <c r="H172" s="9"/>
      <c r="I172" s="9"/>
      <c r="J172" s="34">
        <f>+E66</f>
        <v>41218029.494615391</v>
      </c>
      <c r="K172" s="9"/>
      <c r="L172" s="9"/>
      <c r="M172" s="9"/>
    </row>
    <row r="173" spans="1:13">
      <c r="A173" s="19">
        <f>+A172+1</f>
        <v>70</v>
      </c>
      <c r="C173" s="3" t="str">
        <f>"Less transmission plant excluded from CAISO rates       (Attach 2, line 132) (Note "&amp;A234&amp;")"</f>
        <v>Less transmission plant excluded from CAISO rates       (Attach 2, line 132) (Note H)</v>
      </c>
      <c r="J173" s="34">
        <f>+'2a - Cost Support'!G114</f>
        <v>0</v>
      </c>
      <c r="K173" s="9"/>
    </row>
    <row r="174" spans="1:13" ht="16.5" thickBot="1">
      <c r="A174" s="19">
        <f>+A173+1</f>
        <v>71</v>
      </c>
      <c r="C174" s="112" t="str">
        <f>"Less transmission plant included in OATT Ancillary Services   (Attach 2, line 132a) (Note "&amp;A234&amp;")"</f>
        <v>Less transmission plant included in OATT Ancillary Services   (Attach 2, line 132a) (Note H)</v>
      </c>
      <c r="D174" s="113"/>
      <c r="E174" s="114"/>
      <c r="F174" s="9"/>
      <c r="G174" s="9"/>
      <c r="H174" s="75"/>
      <c r="I174" s="9"/>
      <c r="J174" s="115">
        <f>+'2a - Cost Support'!G115</f>
        <v>0</v>
      </c>
      <c r="K174" s="9"/>
    </row>
    <row r="175" spans="1:13">
      <c r="A175" s="19">
        <f>+A174+1</f>
        <v>72</v>
      </c>
      <c r="C175" s="3" t="str">
        <f>"Transmission plant included in RTO rates  (line "&amp;A172&amp;" less lines "&amp;A173&amp;" &amp; "&amp;A174&amp;")"</f>
        <v>Transmission plant included in RTO rates  (line 69 less lines 70 &amp; 71)</v>
      </c>
      <c r="E175" s="9"/>
      <c r="F175" s="9"/>
      <c r="G175" s="9"/>
      <c r="H175" s="75"/>
      <c r="I175" s="9"/>
      <c r="J175" s="34">
        <f>+J172-J173-J174</f>
        <v>41218029.494615391</v>
      </c>
      <c r="K175" s="9"/>
    </row>
    <row r="176" spans="1:13">
      <c r="A176" s="19"/>
      <c r="E176" s="9"/>
      <c r="F176" s="9"/>
      <c r="G176" s="9"/>
      <c r="H176" s="75"/>
      <c r="I176" s="9"/>
      <c r="K176" s="9"/>
    </row>
    <row r="177" spans="1:14">
      <c r="A177" s="19">
        <f>+A175+1</f>
        <v>73</v>
      </c>
      <c r="C177" s="3" t="str">
        <f>"Percentage of transmission plant included in RTO Rates (line "&amp;A175&amp;" divided by line "&amp;A172&amp;") [If line "&amp;A172&amp;" equal zero, enter 1)"</f>
        <v>Percentage of transmission plant included in RTO Rates (line 72 divided by line 69) [If line 69 equal zero, enter 1)</v>
      </c>
      <c r="D177" s="27"/>
      <c r="E177" s="27"/>
      <c r="F177" s="27"/>
      <c r="G177" s="27"/>
      <c r="H177" s="51"/>
      <c r="I177" s="9" t="s">
        <v>154</v>
      </c>
      <c r="J177" s="93">
        <f>J175/J172</f>
        <v>1</v>
      </c>
      <c r="K177" s="116"/>
    </row>
    <row r="178" spans="1:14">
      <c r="A178" s="19"/>
      <c r="K178" s="9"/>
    </row>
    <row r="179" spans="1:14">
      <c r="A179" s="19">
        <f>+A177+1</f>
        <v>74</v>
      </c>
      <c r="C179" s="2" t="s">
        <v>155</v>
      </c>
      <c r="D179" s="9"/>
      <c r="F179" s="9"/>
      <c r="G179" s="9"/>
      <c r="H179" s="9"/>
      <c r="I179" s="49"/>
      <c r="J179" s="9"/>
    </row>
    <row r="180" spans="1:14" ht="16.5" thickBot="1">
      <c r="A180" s="19">
        <f>+A179+1</f>
        <v>75</v>
      </c>
      <c r="D180" s="114" t="s">
        <v>156</v>
      </c>
      <c r="E180" s="117" t="s">
        <v>157</v>
      </c>
      <c r="F180" s="117" t="s">
        <v>67</v>
      </c>
      <c r="G180" s="9"/>
      <c r="H180" s="117" t="s">
        <v>158</v>
      </c>
      <c r="I180" s="9"/>
      <c r="M180" s="9"/>
    </row>
    <row r="181" spans="1:14">
      <c r="A181" s="19">
        <f>+A180+1</f>
        <v>76</v>
      </c>
      <c r="C181" s="2" t="s">
        <v>77</v>
      </c>
      <c r="D181" s="9" t="s">
        <v>159</v>
      </c>
      <c r="E181" s="118">
        <v>1</v>
      </c>
      <c r="F181" s="34">
        <f>+J177</f>
        <v>1</v>
      </c>
      <c r="H181" s="119">
        <f>+F181*E181</f>
        <v>1</v>
      </c>
      <c r="I181" s="9"/>
      <c r="K181" s="9"/>
      <c r="L181" s="9"/>
      <c r="M181" s="9"/>
      <c r="N181" s="59"/>
    </row>
    <row r="182" spans="1:14" ht="16.5" thickBot="1">
      <c r="A182" s="19">
        <f>+A181+1</f>
        <v>77</v>
      </c>
      <c r="C182" s="2" t="s">
        <v>160</v>
      </c>
      <c r="D182" s="9" t="s">
        <v>161</v>
      </c>
      <c r="E182" s="120">
        <v>0</v>
      </c>
      <c r="F182" s="121" t="s">
        <v>162</v>
      </c>
      <c r="G182" s="121"/>
      <c r="H182" s="122"/>
      <c r="I182" s="9"/>
      <c r="J182" s="29" t="s">
        <v>163</v>
      </c>
      <c r="K182" s="9"/>
      <c r="L182" s="9"/>
      <c r="M182" s="9"/>
    </row>
    <row r="183" spans="1:14">
      <c r="A183" s="19">
        <f>+A182+1</f>
        <v>78</v>
      </c>
      <c r="C183" s="2" t="str">
        <f>"  Total  (sum lines "&amp;A181&amp;"-"&amp;A182&amp;") [W&amp;S equals 1 if there are no wages &amp; salaries]"</f>
        <v xml:space="preserve">  Total  (sum lines 76-77) [W&amp;S equals 1 if there are no wages &amp; salaries]</v>
      </c>
      <c r="D183" s="9"/>
      <c r="E183" s="119">
        <f>SUM(E181:E182)</f>
        <v>1</v>
      </c>
      <c r="F183" s="9"/>
      <c r="G183" s="9"/>
      <c r="H183" s="119">
        <f>SUM(H181:H182)</f>
        <v>1</v>
      </c>
      <c r="I183" s="50" t="s">
        <v>164</v>
      </c>
      <c r="J183" s="66">
        <v>1</v>
      </c>
      <c r="K183" s="75" t="s">
        <v>164</v>
      </c>
      <c r="L183" s="75" t="s">
        <v>70</v>
      </c>
      <c r="M183" s="9"/>
    </row>
    <row r="184" spans="1:14">
      <c r="A184" s="19"/>
      <c r="B184" s="3"/>
      <c r="C184" s="3"/>
      <c r="D184" s="9"/>
      <c r="E184" s="9"/>
      <c r="F184" s="9"/>
      <c r="G184" s="9"/>
      <c r="H184" s="9"/>
      <c r="I184" s="9"/>
      <c r="J184" s="9"/>
      <c r="K184" s="9"/>
      <c r="L184" s="123"/>
      <c r="M184" s="123"/>
    </row>
    <row r="185" spans="1:14">
      <c r="A185" s="19">
        <f>+A183+1</f>
        <v>79</v>
      </c>
      <c r="B185" s="3"/>
      <c r="C185" s="3" t="str">
        <f>"RETURN (R)      (Note "&amp;A236&amp;")"</f>
        <v>RETURN (R)      (Note J)</v>
      </c>
      <c r="D185" s="9"/>
      <c r="E185" s="3"/>
      <c r="F185" s="3"/>
      <c r="G185" s="3"/>
      <c r="H185" s="3"/>
      <c r="I185" s="3"/>
      <c r="J185" s="9"/>
      <c r="K185" s="9"/>
      <c r="L185" s="9"/>
      <c r="M185" s="9"/>
    </row>
    <row r="186" spans="1:14" ht="19.149999999999999" customHeight="1" thickBot="1">
      <c r="A186" s="19"/>
      <c r="D186" s="9"/>
      <c r="E186" s="29" t="s">
        <v>157</v>
      </c>
      <c r="F186" s="29" t="s">
        <v>165</v>
      </c>
      <c r="G186" s="9"/>
      <c r="H186" s="117" t="s">
        <v>166</v>
      </c>
      <c r="I186" s="9"/>
      <c r="J186" s="29" t="s">
        <v>167</v>
      </c>
      <c r="K186" s="9"/>
      <c r="L186" s="9"/>
      <c r="M186" s="9"/>
    </row>
    <row r="187" spans="1:14">
      <c r="A187" s="19">
        <f>+A185+1</f>
        <v>80</v>
      </c>
      <c r="C187" s="3" t="s">
        <v>168</v>
      </c>
      <c r="D187" s="9"/>
      <c r="E187" s="124">
        <f>+'2b - Cost Support'!Q15</f>
        <v>23244120.976538461</v>
      </c>
      <c r="F187" s="125">
        <f>E187/E190</f>
        <v>0.31465118925659463</v>
      </c>
      <c r="G187" s="126"/>
      <c r="H187" s="127">
        <f>'2b - Cost Support'!P36</f>
        <v>2.8000000000000001E-2</v>
      </c>
      <c r="J187" s="128">
        <f>+H187*F187</f>
        <v>8.8102332991846499E-3</v>
      </c>
      <c r="K187" s="129" t="s">
        <v>169</v>
      </c>
      <c r="M187" s="9"/>
      <c r="N187" s="59"/>
    </row>
    <row r="188" spans="1:14">
      <c r="A188" s="19">
        <f>+A187+1</f>
        <v>81</v>
      </c>
      <c r="C188" s="3" t="s">
        <v>170</v>
      </c>
      <c r="D188" s="9"/>
      <c r="E188" s="34">
        <f>+'2b - Cost Support'!Q17</f>
        <v>0</v>
      </c>
      <c r="F188" s="119">
        <f>IF(E$190=0,0,E188/E$190)</f>
        <v>0</v>
      </c>
      <c r="G188" s="126"/>
      <c r="H188" s="119">
        <f>+'2b - Cost Support'!P41</f>
        <v>0</v>
      </c>
      <c r="J188" s="128">
        <f>+H188*F188</f>
        <v>0</v>
      </c>
      <c r="K188" s="9"/>
      <c r="M188" s="9"/>
    </row>
    <row r="189" spans="1:14" ht="16.5" thickBot="1">
      <c r="A189" s="19">
        <f>+A188+1</f>
        <v>82</v>
      </c>
      <c r="C189" s="3" t="s">
        <v>171</v>
      </c>
      <c r="D189" s="9"/>
      <c r="E189" s="130">
        <f>+'2b - Cost Support'!Q23</f>
        <v>50628541.101923071</v>
      </c>
      <c r="F189" s="125">
        <f>E189/E190</f>
        <v>0.68534881074340537</v>
      </c>
      <c r="G189" s="126"/>
      <c r="H189" s="131">
        <v>0.10199999999999999</v>
      </c>
      <c r="J189" s="132">
        <f>H189*F189</f>
        <v>6.9905578695827336E-2</v>
      </c>
      <c r="K189" s="9"/>
      <c r="M189" s="9"/>
      <c r="N189" s="59"/>
    </row>
    <row r="190" spans="1:14">
      <c r="A190" s="19">
        <f>+A189+1</f>
        <v>83</v>
      </c>
      <c r="C190" s="2" t="str">
        <f>"Total  (sum lines "&amp;A187&amp;"-"&amp;A189&amp;")"</f>
        <v>Total  (sum lines 80-82)</v>
      </c>
      <c r="E190" s="119">
        <f>SUM(E187:E189)</f>
        <v>73872662.078461528</v>
      </c>
      <c r="F190" s="9" t="s">
        <v>3</v>
      </c>
      <c r="G190" s="9"/>
      <c r="H190" s="9"/>
      <c r="I190" s="9"/>
      <c r="J190" s="128">
        <f>SUM(J187:J189)</f>
        <v>7.8715811995011986E-2</v>
      </c>
      <c r="K190" s="129" t="s">
        <v>172</v>
      </c>
      <c r="M190" s="9"/>
    </row>
    <row r="191" spans="1:14">
      <c r="F191" s="9"/>
      <c r="G191" s="9"/>
      <c r="H191" s="9"/>
      <c r="I191" s="9"/>
      <c r="M191" s="9"/>
    </row>
    <row r="192" spans="1:14">
      <c r="F192" s="9"/>
      <c r="G192" s="9"/>
      <c r="H192" s="9"/>
      <c r="I192" s="9"/>
      <c r="M192" s="9"/>
    </row>
    <row r="193" spans="1:13">
      <c r="C193" s="24" t="s">
        <v>173</v>
      </c>
      <c r="F193" s="9"/>
      <c r="G193" s="9"/>
      <c r="H193" s="75" t="s">
        <v>174</v>
      </c>
      <c r="I193" s="75"/>
      <c r="J193" s="50"/>
      <c r="M193" s="9"/>
    </row>
    <row r="194" spans="1:13">
      <c r="A194" s="50"/>
      <c r="F194" s="9"/>
      <c r="G194" s="9"/>
      <c r="H194" s="30"/>
      <c r="J194" s="75"/>
      <c r="M194" s="9"/>
    </row>
    <row r="195" spans="1:13">
      <c r="A195" s="50">
        <f>+A190+1</f>
        <v>84</v>
      </c>
      <c r="C195" s="2" t="s">
        <v>175</v>
      </c>
      <c r="D195" s="2" t="str">
        <f>"(Line "&amp;A76&amp;", column 5)"</f>
        <v>(Line 13, column 5)</v>
      </c>
      <c r="F195" s="9"/>
      <c r="G195" s="9"/>
      <c r="H195" s="92">
        <f>+J76</f>
        <v>40753706.437692314</v>
      </c>
      <c r="I195" s="9"/>
      <c r="M195" s="9"/>
    </row>
    <row r="196" spans="1:13">
      <c r="A196" s="50">
        <f>+A195+1</f>
        <v>85</v>
      </c>
      <c r="C196" s="2" t="s">
        <v>32</v>
      </c>
      <c r="D196" s="2" t="str">
        <f>"(Line "&amp;A83&amp;", column 5)"</f>
        <v>(Line 19, column 5)</v>
      </c>
      <c r="F196" s="9"/>
      <c r="G196" s="9"/>
      <c r="H196" s="92">
        <f>+J83</f>
        <v>0</v>
      </c>
      <c r="J196" s="56"/>
      <c r="M196" s="9"/>
    </row>
    <row r="197" spans="1:13">
      <c r="A197" s="50">
        <f>+A196+1</f>
        <v>86</v>
      </c>
      <c r="C197" s="17" t="s">
        <v>176</v>
      </c>
      <c r="D197" s="2" t="str">
        <f>"(Line "&amp;A86&amp;", column 5)"</f>
        <v>(Line 22, column 5)</v>
      </c>
      <c r="F197" s="9"/>
      <c r="G197" s="9"/>
      <c r="H197" s="92">
        <f>+J86</f>
        <v>0</v>
      </c>
      <c r="I197" s="9"/>
      <c r="M197" s="9"/>
    </row>
    <row r="198" spans="1:13">
      <c r="A198" s="50">
        <f>+A197+1</f>
        <v>87</v>
      </c>
      <c r="C198" s="17" t="s">
        <v>177</v>
      </c>
      <c r="D198" s="2" t="str">
        <f>"(Line "&amp;A85&amp;", column 5)"</f>
        <v>(Line 21, column 5)</v>
      </c>
      <c r="F198" s="9"/>
      <c r="G198" s="9"/>
      <c r="H198" s="92">
        <f>+J85</f>
        <v>5667360.9205955332</v>
      </c>
      <c r="I198" s="9"/>
      <c r="M198" s="9"/>
    </row>
    <row r="199" spans="1:13" ht="27.75" customHeight="1">
      <c r="A199" s="50">
        <f>+A198+1</f>
        <v>88</v>
      </c>
      <c r="C199" s="133" t="str">
        <f>+C193</f>
        <v>Sum Of Net Transmission Plant, CWIP in Rate Base, Regulatory Asset and Unamortized Abandoned Plant</v>
      </c>
      <c r="F199" s="9"/>
      <c r="G199" s="9"/>
      <c r="H199" s="56">
        <f>SUM(H195:H198)</f>
        <v>46421067.358287849</v>
      </c>
      <c r="I199" s="9"/>
      <c r="J199" s="56"/>
      <c r="K199" s="134"/>
      <c r="L199" s="134"/>
      <c r="M199" s="134"/>
    </row>
    <row r="200" spans="1:13">
      <c r="A200" s="50"/>
      <c r="F200" s="9"/>
      <c r="G200" s="9"/>
      <c r="H200" s="9"/>
      <c r="I200" s="9"/>
      <c r="M200" s="9"/>
    </row>
    <row r="201" spans="1:13">
      <c r="A201" s="50">
        <v>89</v>
      </c>
      <c r="C201" s="2" t="s">
        <v>178</v>
      </c>
      <c r="F201" s="9"/>
      <c r="G201" s="9"/>
      <c r="H201" s="9"/>
      <c r="I201" s="9"/>
      <c r="J201" s="9"/>
      <c r="M201" s="9"/>
    </row>
    <row r="202" spans="1:13">
      <c r="C202" s="50"/>
      <c r="D202" s="50"/>
      <c r="E202" s="50"/>
      <c r="F202" s="9"/>
      <c r="G202" s="9"/>
      <c r="H202" s="135"/>
      <c r="I202" s="9"/>
      <c r="J202" s="136"/>
      <c r="M202" s="137"/>
    </row>
    <row r="203" spans="1:13">
      <c r="E203" s="138"/>
      <c r="F203" s="9"/>
      <c r="G203" s="9"/>
      <c r="H203" s="9"/>
      <c r="I203" s="9"/>
      <c r="J203" s="138"/>
      <c r="M203" s="9"/>
    </row>
    <row r="204" spans="1:13">
      <c r="C204" s="3"/>
      <c r="D204" s="3"/>
      <c r="E204" s="4"/>
      <c r="F204" s="3"/>
      <c r="G204" s="3"/>
      <c r="H204" s="3"/>
      <c r="I204" s="3"/>
      <c r="J204" s="7"/>
      <c r="K204" s="7"/>
      <c r="L204" s="7"/>
      <c r="M204" s="5" t="s">
        <v>0</v>
      </c>
    </row>
    <row r="205" spans="1:13">
      <c r="C205" s="3"/>
      <c r="D205" s="3"/>
      <c r="E205" s="4"/>
      <c r="F205" s="3"/>
      <c r="G205" s="3"/>
      <c r="H205" s="3"/>
      <c r="I205" s="3"/>
      <c r="J205" s="3"/>
      <c r="L205" s="7"/>
      <c r="M205" s="7" t="s">
        <v>179</v>
      </c>
    </row>
    <row r="206" spans="1:13">
      <c r="C206" s="3"/>
      <c r="D206" s="16" t="s">
        <v>180</v>
      </c>
      <c r="F206" s="3"/>
      <c r="G206" s="3"/>
      <c r="H206" s="3"/>
      <c r="I206" s="3"/>
      <c r="J206" s="3"/>
      <c r="L206" s="7"/>
    </row>
    <row r="207" spans="1:13">
      <c r="C207" s="3" t="s">
        <v>37</v>
      </c>
      <c r="D207" s="8"/>
      <c r="E207" s="8" t="s">
        <v>2</v>
      </c>
      <c r="F207" s="3"/>
      <c r="G207" s="3"/>
      <c r="H207" s="3"/>
      <c r="I207" s="3"/>
    </row>
    <row r="208" spans="1:13">
      <c r="C208" s="3"/>
      <c r="D208" s="9" t="s">
        <v>3</v>
      </c>
      <c r="E208" s="9" t="s">
        <v>4</v>
      </c>
      <c r="F208" s="9"/>
      <c r="G208" s="9"/>
      <c r="H208" s="9"/>
      <c r="I208" s="3"/>
      <c r="J208" s="3"/>
    </row>
    <row r="209" spans="1:13">
      <c r="A209" s="19"/>
      <c r="K209" s="14"/>
      <c r="L209" s="14"/>
      <c r="M209" s="10" t="str">
        <f>+M165</f>
        <v>For the 12 months ended 12/31/2020</v>
      </c>
    </row>
    <row r="210" spans="1:13">
      <c r="A210" s="19"/>
      <c r="E210" s="139"/>
      <c r="G210" s="110"/>
      <c r="K210" s="9"/>
      <c r="M210" s="49"/>
    </row>
    <row r="211" spans="1:13">
      <c r="A211" s="19"/>
      <c r="D211" s="11" t="s">
        <v>181</v>
      </c>
      <c r="E211" s="140"/>
      <c r="F211" s="140"/>
      <c r="G211" s="140"/>
      <c r="K211" s="9"/>
      <c r="M211" s="49"/>
    </row>
    <row r="212" spans="1:13">
      <c r="A212" s="19"/>
      <c r="D212" s="19"/>
      <c r="K212" s="9"/>
      <c r="L212" s="9"/>
    </row>
    <row r="213" spans="1:13">
      <c r="A213" s="19"/>
      <c r="B213" s="3"/>
      <c r="C213" s="141"/>
      <c r="D213" s="19"/>
      <c r="E213" s="9"/>
      <c r="F213" s="9"/>
      <c r="G213" s="9"/>
      <c r="H213" s="9"/>
      <c r="I213" s="3"/>
      <c r="J213" s="8"/>
      <c r="K213" s="142"/>
      <c r="L213" s="143"/>
      <c r="M213" s="19"/>
    </row>
    <row r="214" spans="1:13">
      <c r="A214" s="19"/>
      <c r="B214" s="3"/>
      <c r="C214" s="141"/>
      <c r="F214" s="9"/>
      <c r="G214" s="9"/>
      <c r="H214" s="9"/>
      <c r="I214" s="3"/>
      <c r="J214" s="144"/>
      <c r="K214" s="142"/>
      <c r="L214" s="143"/>
      <c r="M214" s="19"/>
    </row>
    <row r="215" spans="1:13">
      <c r="A215" s="19"/>
      <c r="B215" s="3"/>
      <c r="C215" s="141"/>
      <c r="D215" s="19"/>
      <c r="E215" s="9"/>
      <c r="F215" s="9"/>
      <c r="G215" s="9"/>
      <c r="H215" s="9"/>
      <c r="I215" s="3"/>
      <c r="J215" s="144"/>
      <c r="K215" s="142"/>
      <c r="L215" s="143"/>
      <c r="M215" s="19"/>
    </row>
    <row r="216" spans="1:13">
      <c r="A216" s="19"/>
      <c r="B216" s="3"/>
      <c r="C216" s="3" t="s">
        <v>182</v>
      </c>
      <c r="D216" s="19"/>
      <c r="E216" s="9"/>
      <c r="F216" s="9"/>
      <c r="G216" s="9"/>
      <c r="H216" s="9"/>
      <c r="I216" s="3"/>
      <c r="J216" s="9"/>
      <c r="K216" s="3"/>
      <c r="L216" s="9"/>
      <c r="M216" s="19"/>
    </row>
    <row r="217" spans="1:13">
      <c r="A217" s="19"/>
      <c r="B217" s="3"/>
      <c r="C217" s="3" t="s">
        <v>183</v>
      </c>
      <c r="D217" s="19"/>
      <c r="E217" s="9"/>
      <c r="F217" s="9"/>
      <c r="G217" s="9"/>
      <c r="H217" s="9"/>
      <c r="I217" s="3"/>
      <c r="J217" s="9"/>
      <c r="K217" s="3"/>
      <c r="L217" s="9"/>
      <c r="M217" s="19"/>
    </row>
    <row r="218" spans="1:13">
      <c r="A218" s="19" t="s">
        <v>184</v>
      </c>
      <c r="B218" s="3"/>
      <c r="C218" s="3"/>
      <c r="D218" s="3"/>
      <c r="E218" s="9"/>
      <c r="F218" s="9"/>
      <c r="G218" s="9"/>
      <c r="H218" s="9"/>
      <c r="I218" s="3"/>
      <c r="J218" s="9"/>
      <c r="K218" s="3"/>
      <c r="L218" s="9"/>
      <c r="M218" s="19"/>
    </row>
    <row r="219" spans="1:13" ht="16.5" thickBot="1">
      <c r="A219" s="29" t="s">
        <v>185</v>
      </c>
      <c r="B219" s="3"/>
      <c r="C219" s="3"/>
      <c r="D219" s="3"/>
      <c r="E219" s="9"/>
      <c r="F219" s="9"/>
      <c r="G219" s="9"/>
      <c r="H219" s="9"/>
      <c r="I219" s="3"/>
      <c r="J219" s="9"/>
      <c r="K219" s="3"/>
      <c r="L219" s="9"/>
      <c r="M219" s="19"/>
    </row>
    <row r="220" spans="1:13">
      <c r="A220" s="19" t="s">
        <v>186</v>
      </c>
      <c r="B220" s="3"/>
      <c r="C220" s="145" t="s">
        <v>187</v>
      </c>
      <c r="D220" s="145"/>
      <c r="E220" s="145"/>
      <c r="F220" s="145"/>
      <c r="G220" s="145"/>
      <c r="H220" s="145"/>
      <c r="I220" s="145"/>
      <c r="J220" s="145"/>
      <c r="K220" s="145"/>
      <c r="L220" s="145"/>
      <c r="M220" s="19"/>
    </row>
    <row r="221" spans="1:13">
      <c r="A221" s="19"/>
      <c r="B221" s="3"/>
      <c r="C221" s="3" t="str">
        <f>"    throughs and excluded if the utility chose to utilize amortization of tax credits against taxable income as discussed in Note "&amp;A228&amp;".  Account 281 is not allocated."</f>
        <v xml:space="preserve">    throughs and excluded if the utility chose to utilize amortization of tax credits against taxable income as discussed in Note F.  Account 281 is not allocated.</v>
      </c>
      <c r="D221" s="3"/>
      <c r="E221" s="3"/>
      <c r="F221" s="3"/>
      <c r="G221" s="3"/>
      <c r="H221" s="3"/>
      <c r="I221" s="3"/>
      <c r="J221" s="3"/>
      <c r="K221" s="3"/>
      <c r="L221" s="3"/>
      <c r="M221" s="19"/>
    </row>
    <row r="222" spans="1:13">
      <c r="A222" s="19" t="s">
        <v>188</v>
      </c>
      <c r="B222" s="3"/>
      <c r="C222" s="3" t="s">
        <v>189</v>
      </c>
      <c r="D222" s="3"/>
      <c r="E222" s="3"/>
      <c r="F222" s="3"/>
      <c r="G222" s="3"/>
      <c r="H222" s="3"/>
      <c r="I222" s="3"/>
      <c r="J222" s="3"/>
      <c r="K222" s="3"/>
      <c r="L222" s="3"/>
      <c r="M222" s="19"/>
    </row>
    <row r="223" spans="1:13" ht="32.25" customHeight="1">
      <c r="A223" s="19" t="s">
        <v>190</v>
      </c>
      <c r="B223" s="3"/>
      <c r="C223" s="146" t="s">
        <v>191</v>
      </c>
      <c r="D223" s="146"/>
      <c r="E223" s="146"/>
      <c r="F223" s="146"/>
      <c r="G223" s="146"/>
      <c r="H223" s="146"/>
      <c r="I223" s="146"/>
      <c r="J223" s="146"/>
      <c r="K223" s="146"/>
      <c r="L223" s="146"/>
      <c r="M223" s="19"/>
    </row>
    <row r="224" spans="1:13">
      <c r="A224" s="19"/>
      <c r="B224" s="3"/>
      <c r="C224" s="3" t="s">
        <v>192</v>
      </c>
      <c r="D224" s="3"/>
      <c r="E224" s="3"/>
      <c r="F224" s="3"/>
      <c r="G224" s="3"/>
      <c r="H224" s="3"/>
      <c r="I224" s="3"/>
      <c r="J224" s="3"/>
      <c r="K224" s="3"/>
      <c r="L224" s="3"/>
      <c r="M224" s="19"/>
    </row>
    <row r="225" spans="1:256" ht="19.5" customHeight="1">
      <c r="A225" s="19" t="s">
        <v>193</v>
      </c>
      <c r="B225" s="3"/>
      <c r="C225" s="147" t="s">
        <v>194</v>
      </c>
      <c r="D225" s="147"/>
      <c r="E225" s="147"/>
      <c r="F225" s="147"/>
      <c r="G225" s="147"/>
      <c r="H225" s="147"/>
      <c r="I225" s="147"/>
      <c r="J225" s="147"/>
      <c r="K225" s="147"/>
      <c r="L225" s="147"/>
      <c r="M225" s="19"/>
      <c r="N225" s="148"/>
    </row>
    <row r="226" spans="1:256" ht="18">
      <c r="A226" s="19"/>
      <c r="B226" s="3"/>
      <c r="C226" s="24" t="s">
        <v>195</v>
      </c>
      <c r="D226" s="3"/>
      <c r="E226" s="3"/>
      <c r="F226" s="3"/>
      <c r="G226" s="3"/>
      <c r="H226" s="3"/>
      <c r="I226" s="3"/>
      <c r="J226" s="3"/>
      <c r="K226" s="3"/>
      <c r="L226" s="3"/>
      <c r="M226" s="19"/>
      <c r="N226" s="148"/>
    </row>
    <row r="227" spans="1:256" ht="33.75" customHeight="1">
      <c r="A227" s="19" t="s">
        <v>196</v>
      </c>
      <c r="B227" s="3"/>
      <c r="C227" s="146" t="s">
        <v>197</v>
      </c>
      <c r="D227" s="146"/>
      <c r="E227" s="146"/>
      <c r="F227" s="146"/>
      <c r="G227" s="146"/>
      <c r="H227" s="146"/>
      <c r="I227" s="146"/>
      <c r="J227" s="146"/>
      <c r="K227" s="146"/>
      <c r="L227" s="146"/>
      <c r="M227" s="19"/>
    </row>
    <row r="228" spans="1:256" ht="50.25" customHeight="1">
      <c r="A228" s="19" t="s">
        <v>198</v>
      </c>
      <c r="B228" s="3"/>
      <c r="C228" s="146" t="s">
        <v>199</v>
      </c>
      <c r="D228" s="146"/>
      <c r="E228" s="146"/>
      <c r="F228" s="146"/>
      <c r="G228" s="146"/>
      <c r="H228" s="146"/>
      <c r="I228" s="146"/>
      <c r="J228" s="146"/>
      <c r="K228" s="146"/>
      <c r="L228" s="146"/>
      <c r="M228" s="19"/>
    </row>
    <row r="229" spans="1:256">
      <c r="A229" s="19" t="s">
        <v>3</v>
      </c>
      <c r="B229" s="3"/>
      <c r="C229" s="3" t="s">
        <v>200</v>
      </c>
      <c r="D229" s="3" t="s">
        <v>201</v>
      </c>
      <c r="E229" s="149">
        <v>0.21</v>
      </c>
      <c r="F229" s="3"/>
      <c r="G229" s="3"/>
      <c r="H229" s="3"/>
      <c r="I229" s="3"/>
      <c r="J229" s="3"/>
      <c r="K229" s="3"/>
      <c r="L229" s="3"/>
      <c r="M229" s="19"/>
    </row>
    <row r="230" spans="1:256">
      <c r="A230" s="19"/>
      <c r="B230" s="3"/>
      <c r="C230" s="3"/>
      <c r="D230" s="3" t="s">
        <v>202</v>
      </c>
      <c r="E230" s="150">
        <f>+'2a - Cost Support'!L100</f>
        <v>8.8400000000000006E-2</v>
      </c>
      <c r="F230" s="3" t="s">
        <v>203</v>
      </c>
      <c r="G230" s="3"/>
      <c r="H230" s="3"/>
      <c r="I230" s="3"/>
      <c r="J230" s="3"/>
      <c r="K230" s="3"/>
      <c r="L230" s="3"/>
      <c r="M230" s="19"/>
      <c r="N230" s="151"/>
    </row>
    <row r="231" spans="1:256">
      <c r="A231" s="19"/>
      <c r="B231" s="3"/>
      <c r="C231" s="3"/>
      <c r="D231" s="3" t="s">
        <v>204</v>
      </c>
      <c r="E231" s="149">
        <v>0</v>
      </c>
      <c r="F231" s="3" t="s">
        <v>205</v>
      </c>
      <c r="G231" s="3"/>
      <c r="H231" s="3"/>
      <c r="I231" s="3"/>
      <c r="J231" s="3"/>
      <c r="K231" s="3"/>
      <c r="L231" s="3"/>
      <c r="M231" s="19"/>
    </row>
    <row r="232" spans="1:256" ht="33.75" customHeight="1">
      <c r="A232" s="19"/>
      <c r="B232" s="3"/>
      <c r="C232" s="152" t="s">
        <v>206</v>
      </c>
      <c r="D232" s="152"/>
      <c r="E232" s="152"/>
      <c r="F232" s="152"/>
      <c r="G232" s="152"/>
      <c r="H232" s="152"/>
      <c r="I232" s="152"/>
      <c r="J232" s="152"/>
      <c r="K232" s="152"/>
      <c r="L232" s="152"/>
      <c r="M232" s="19"/>
    </row>
    <row r="233" spans="1:256" ht="19.5" customHeight="1">
      <c r="A233" s="153" t="s">
        <v>207</v>
      </c>
      <c r="B233" s="3"/>
      <c r="C233" s="154" t="s">
        <v>208</v>
      </c>
      <c r="D233" s="154"/>
      <c r="E233" s="154"/>
      <c r="F233" s="154"/>
      <c r="G233" s="154"/>
      <c r="H233" s="154"/>
      <c r="I233" s="154"/>
      <c r="J233" s="154"/>
      <c r="K233" s="154"/>
      <c r="L233" s="154"/>
      <c r="M233" s="19"/>
    </row>
    <row r="234" spans="1:256" ht="29.25" customHeight="1">
      <c r="A234" s="19" t="s">
        <v>209</v>
      </c>
      <c r="B234" s="3"/>
      <c r="C234" s="146" t="s">
        <v>210</v>
      </c>
      <c r="D234" s="146"/>
      <c r="E234" s="146"/>
      <c r="F234" s="146"/>
      <c r="G234" s="146"/>
      <c r="H234" s="146"/>
      <c r="I234" s="146"/>
      <c r="J234" s="146"/>
      <c r="K234" s="146"/>
      <c r="L234" s="146"/>
      <c r="M234" s="19"/>
    </row>
    <row r="235" spans="1:256">
      <c r="A235" s="19" t="s">
        <v>211</v>
      </c>
      <c r="B235" s="3"/>
      <c r="C235" s="3" t="s">
        <v>212</v>
      </c>
      <c r="D235" s="3"/>
      <c r="E235" s="3"/>
      <c r="F235" s="3"/>
      <c r="G235" s="3"/>
      <c r="H235" s="3"/>
      <c r="I235" s="3"/>
      <c r="J235" s="3"/>
      <c r="K235" s="3"/>
      <c r="L235" s="3"/>
      <c r="M235" s="19"/>
    </row>
    <row r="236" spans="1:256">
      <c r="A236" s="19" t="s">
        <v>213</v>
      </c>
      <c r="B236" s="3"/>
      <c r="C236" s="155" t="s">
        <v>214</v>
      </c>
      <c r="D236" s="3"/>
      <c r="E236" s="3"/>
      <c r="F236" s="3"/>
      <c r="G236" s="3"/>
      <c r="H236" s="3"/>
      <c r="I236" s="3"/>
      <c r="J236" s="3"/>
      <c r="K236" s="3"/>
      <c r="L236" s="3"/>
      <c r="M236" s="19"/>
    </row>
    <row r="237" spans="1:256">
      <c r="A237" s="19"/>
      <c r="B237" s="3"/>
      <c r="C237" s="155" t="s">
        <v>215</v>
      </c>
      <c r="D237" s="3"/>
      <c r="E237" s="3"/>
      <c r="F237" s="3"/>
      <c r="G237" s="3"/>
      <c r="H237" s="3"/>
      <c r="I237" s="3"/>
      <c r="J237" s="3"/>
      <c r="K237" s="3"/>
      <c r="L237" s="3"/>
      <c r="M237" s="19"/>
    </row>
    <row r="238" spans="1:256" ht="13.5" customHeight="1">
      <c r="A238" s="156"/>
      <c r="B238" s="156"/>
      <c r="C238" s="155" t="s">
        <v>216</v>
      </c>
      <c r="D238" s="155"/>
      <c r="E238" s="157"/>
      <c r="F238" s="157"/>
      <c r="G238" s="157"/>
      <c r="H238" s="157"/>
      <c r="I238" s="157"/>
      <c r="J238" s="157"/>
      <c r="K238" s="157"/>
      <c r="L238" s="157"/>
      <c r="M238" s="156"/>
      <c r="N238" s="158"/>
      <c r="O238" s="158"/>
      <c r="P238" s="158"/>
      <c r="Q238" s="158"/>
      <c r="R238" s="158"/>
      <c r="S238" s="158"/>
      <c r="T238" s="158"/>
      <c r="U238" s="158"/>
      <c r="V238" s="158"/>
      <c r="W238" s="158"/>
      <c r="X238" s="158"/>
      <c r="Y238" s="158"/>
      <c r="Z238" s="158"/>
      <c r="AA238" s="158"/>
      <c r="AB238" s="158"/>
      <c r="AC238" s="158"/>
      <c r="AD238" s="158"/>
      <c r="AE238" s="158"/>
      <c r="AF238" s="158"/>
      <c r="AG238" s="158"/>
      <c r="AH238" s="158"/>
      <c r="AI238" s="158"/>
      <c r="AJ238" s="158"/>
      <c r="AK238" s="158"/>
      <c r="AL238" s="158"/>
      <c r="AM238" s="158"/>
      <c r="AN238" s="158"/>
      <c r="AO238" s="158"/>
      <c r="AP238" s="158"/>
      <c r="AQ238" s="158"/>
      <c r="AR238" s="158"/>
      <c r="AS238" s="158"/>
      <c r="AT238" s="158"/>
      <c r="AU238" s="158"/>
      <c r="AV238" s="158"/>
      <c r="AW238" s="158"/>
      <c r="AX238" s="158"/>
      <c r="AY238" s="158"/>
      <c r="AZ238" s="158"/>
      <c r="BA238" s="158"/>
      <c r="BB238" s="158"/>
      <c r="BC238" s="158"/>
      <c r="BD238" s="158"/>
      <c r="BE238" s="158"/>
      <c r="BF238" s="158"/>
      <c r="BG238" s="158"/>
      <c r="BH238" s="158"/>
      <c r="BI238" s="158"/>
      <c r="BJ238" s="158"/>
      <c r="BK238" s="158"/>
      <c r="BL238" s="158"/>
      <c r="BM238" s="158"/>
      <c r="BN238" s="158"/>
      <c r="BO238" s="158"/>
      <c r="BP238" s="158"/>
      <c r="BQ238" s="158"/>
      <c r="BR238" s="158"/>
      <c r="BS238" s="158"/>
      <c r="BT238" s="158"/>
      <c r="BU238" s="158"/>
      <c r="BV238" s="158"/>
      <c r="BW238" s="158"/>
      <c r="BX238" s="158"/>
      <c r="BY238" s="158"/>
      <c r="BZ238" s="158"/>
      <c r="CA238" s="158"/>
      <c r="CB238" s="158"/>
      <c r="CC238" s="158"/>
      <c r="CD238" s="158"/>
      <c r="CE238" s="158"/>
      <c r="CF238" s="158"/>
      <c r="CG238" s="158"/>
      <c r="CH238" s="158"/>
      <c r="CI238" s="158"/>
      <c r="CJ238" s="158"/>
      <c r="CK238" s="158"/>
      <c r="CL238" s="158"/>
      <c r="CM238" s="158"/>
      <c r="CN238" s="158"/>
      <c r="CO238" s="158"/>
      <c r="CP238" s="158"/>
      <c r="CQ238" s="158"/>
      <c r="CR238" s="158"/>
      <c r="CS238" s="158"/>
      <c r="CT238" s="158"/>
      <c r="CU238" s="158"/>
      <c r="CV238" s="158"/>
      <c r="CW238" s="158"/>
      <c r="CX238" s="158"/>
      <c r="CY238" s="158"/>
      <c r="CZ238" s="158"/>
      <c r="DA238" s="158"/>
      <c r="DB238" s="158"/>
      <c r="DC238" s="158"/>
      <c r="DD238" s="158"/>
      <c r="DE238" s="158"/>
      <c r="DF238" s="158"/>
      <c r="DG238" s="158"/>
      <c r="DH238" s="158"/>
      <c r="DI238" s="158"/>
      <c r="DJ238" s="158"/>
      <c r="DK238" s="158"/>
      <c r="DL238" s="158"/>
      <c r="DM238" s="158"/>
      <c r="DN238" s="158"/>
      <c r="DO238" s="158"/>
      <c r="DP238" s="158"/>
      <c r="DQ238" s="158"/>
      <c r="DR238" s="158"/>
      <c r="DS238" s="158"/>
      <c r="DT238" s="158"/>
      <c r="DU238" s="158"/>
      <c r="DV238" s="158"/>
      <c r="DW238" s="158"/>
      <c r="DX238" s="158"/>
      <c r="DY238" s="158"/>
      <c r="DZ238" s="158"/>
      <c r="EA238" s="158"/>
      <c r="EB238" s="158"/>
      <c r="EC238" s="158"/>
      <c r="ED238" s="158"/>
      <c r="EE238" s="158"/>
      <c r="EF238" s="158"/>
      <c r="EG238" s="158"/>
      <c r="EH238" s="158"/>
      <c r="EI238" s="158"/>
      <c r="EJ238" s="158"/>
      <c r="EK238" s="158"/>
      <c r="EL238" s="158"/>
      <c r="EM238" s="158"/>
      <c r="EN238" s="158"/>
      <c r="EO238" s="158"/>
      <c r="EP238" s="158"/>
      <c r="EQ238" s="158"/>
      <c r="ER238" s="158"/>
      <c r="ES238" s="158"/>
      <c r="ET238" s="158"/>
      <c r="EU238" s="158"/>
      <c r="EV238" s="158"/>
      <c r="EW238" s="158"/>
      <c r="EX238" s="158"/>
      <c r="EY238" s="158"/>
      <c r="EZ238" s="158"/>
      <c r="FA238" s="158"/>
      <c r="FB238" s="158"/>
      <c r="FC238" s="158"/>
      <c r="FD238" s="158"/>
      <c r="FE238" s="158"/>
      <c r="FF238" s="158"/>
      <c r="FG238" s="158"/>
      <c r="FH238" s="158"/>
      <c r="FI238" s="158"/>
      <c r="FJ238" s="158"/>
      <c r="FK238" s="158"/>
      <c r="FL238" s="158"/>
      <c r="FM238" s="158"/>
      <c r="FN238" s="158"/>
      <c r="FO238" s="158"/>
      <c r="FP238" s="158"/>
      <c r="FQ238" s="158"/>
      <c r="FR238" s="158"/>
      <c r="FS238" s="158"/>
      <c r="FT238" s="158"/>
      <c r="FU238" s="158"/>
      <c r="FV238" s="158"/>
      <c r="FW238" s="158"/>
      <c r="FX238" s="158"/>
      <c r="FY238" s="158"/>
      <c r="FZ238" s="158"/>
      <c r="GA238" s="158"/>
      <c r="GB238" s="158"/>
      <c r="GC238" s="158"/>
      <c r="GD238" s="158"/>
      <c r="GE238" s="158"/>
      <c r="GF238" s="158"/>
      <c r="GG238" s="158"/>
      <c r="GH238" s="158"/>
      <c r="GI238" s="158"/>
      <c r="GJ238" s="158"/>
      <c r="GK238" s="158"/>
      <c r="GL238" s="158"/>
      <c r="GM238" s="158"/>
      <c r="GN238" s="158"/>
      <c r="GO238" s="158"/>
      <c r="GP238" s="158"/>
      <c r="GQ238" s="158"/>
      <c r="GR238" s="158"/>
      <c r="GS238" s="158"/>
      <c r="GT238" s="158"/>
      <c r="GU238" s="158"/>
      <c r="GV238" s="158"/>
      <c r="GW238" s="158"/>
      <c r="GX238" s="158"/>
      <c r="GY238" s="158"/>
      <c r="GZ238" s="158"/>
      <c r="HA238" s="158"/>
      <c r="HB238" s="158"/>
      <c r="HC238" s="158"/>
      <c r="HD238" s="158"/>
      <c r="HE238" s="158"/>
      <c r="HF238" s="158"/>
      <c r="HG238" s="158"/>
      <c r="HH238" s="158"/>
      <c r="HI238" s="158"/>
      <c r="HJ238" s="158"/>
      <c r="HK238" s="158"/>
      <c r="HL238" s="158"/>
      <c r="HM238" s="158"/>
      <c r="HN238" s="158"/>
      <c r="HO238" s="158"/>
      <c r="HP238" s="158"/>
      <c r="HQ238" s="158"/>
      <c r="HR238" s="158"/>
      <c r="HS238" s="158"/>
      <c r="HT238" s="158"/>
      <c r="HU238" s="158"/>
      <c r="HV238" s="158"/>
      <c r="HW238" s="158"/>
      <c r="HX238" s="158"/>
      <c r="HY238" s="158"/>
      <c r="HZ238" s="158"/>
      <c r="IA238" s="158"/>
      <c r="IB238" s="158"/>
      <c r="IC238" s="158"/>
      <c r="ID238" s="158"/>
      <c r="IE238" s="158"/>
      <c r="IF238" s="158"/>
      <c r="IG238" s="158"/>
      <c r="IH238" s="158"/>
      <c r="II238" s="158"/>
      <c r="IJ238" s="158"/>
      <c r="IK238" s="158"/>
      <c r="IL238" s="158"/>
      <c r="IM238" s="158"/>
      <c r="IN238" s="158"/>
      <c r="IO238" s="158"/>
      <c r="IP238" s="158"/>
      <c r="IQ238" s="158"/>
      <c r="IR238" s="158"/>
      <c r="IS238" s="158"/>
      <c r="IT238" s="158"/>
      <c r="IU238" s="158"/>
      <c r="IV238" s="158"/>
    </row>
    <row r="239" spans="1:256" ht="33" customHeight="1">
      <c r="A239" s="153" t="s">
        <v>217</v>
      </c>
      <c r="B239" s="156"/>
      <c r="C239" s="134" t="s">
        <v>218</v>
      </c>
      <c r="D239" s="134"/>
      <c r="E239" s="134"/>
      <c r="F239" s="134"/>
      <c r="G239" s="134"/>
      <c r="H239" s="134"/>
      <c r="I239" s="134"/>
      <c r="J239" s="134"/>
      <c r="K239" s="134"/>
      <c r="L239" s="134"/>
      <c r="M239" s="156"/>
      <c r="N239" s="159"/>
      <c r="O239" s="159"/>
      <c r="P239" s="159"/>
      <c r="Q239" s="159"/>
      <c r="R239" s="159"/>
      <c r="S239" s="159"/>
      <c r="T239" s="159"/>
      <c r="U239" s="159"/>
      <c r="V239" s="159"/>
      <c r="W239" s="159"/>
      <c r="X239" s="159"/>
      <c r="Y239" s="159"/>
      <c r="Z239" s="159"/>
      <c r="AA239" s="159"/>
      <c r="AB239" s="159"/>
      <c r="AC239" s="159"/>
      <c r="AD239" s="159"/>
      <c r="AE239" s="159"/>
      <c r="AF239" s="159"/>
      <c r="AG239" s="159"/>
      <c r="AH239" s="159"/>
      <c r="AI239" s="159"/>
      <c r="AJ239" s="159"/>
      <c r="AK239" s="159"/>
      <c r="AL239" s="159"/>
      <c r="AM239" s="159"/>
      <c r="AN239" s="159"/>
      <c r="AO239" s="159"/>
      <c r="AP239" s="159"/>
      <c r="AQ239" s="159"/>
      <c r="AR239" s="159"/>
      <c r="AS239" s="159"/>
      <c r="AT239" s="159"/>
      <c r="AU239" s="159"/>
      <c r="AV239" s="159"/>
      <c r="AW239" s="159"/>
      <c r="AX239" s="159"/>
      <c r="AY239" s="159"/>
      <c r="AZ239" s="159"/>
      <c r="BA239" s="159"/>
      <c r="BB239" s="159"/>
      <c r="BC239" s="159"/>
      <c r="BD239" s="159"/>
      <c r="BE239" s="159"/>
      <c r="BF239" s="159"/>
      <c r="BG239" s="159"/>
      <c r="BH239" s="159"/>
      <c r="BI239" s="159"/>
      <c r="BJ239" s="159"/>
      <c r="BK239" s="159"/>
      <c r="BL239" s="159"/>
      <c r="BM239" s="159"/>
      <c r="BN239" s="159"/>
      <c r="BO239" s="159"/>
      <c r="BP239" s="159"/>
      <c r="BQ239" s="159"/>
      <c r="BR239" s="159"/>
      <c r="BS239" s="159"/>
      <c r="BT239" s="159"/>
      <c r="BU239" s="159"/>
      <c r="BV239" s="159"/>
      <c r="BW239" s="159"/>
      <c r="BX239" s="159"/>
      <c r="BY239" s="159"/>
      <c r="BZ239" s="159"/>
      <c r="CA239" s="159"/>
      <c r="CB239" s="159"/>
      <c r="CC239" s="159"/>
      <c r="CD239" s="159"/>
      <c r="CE239" s="159"/>
      <c r="CF239" s="159"/>
      <c r="CG239" s="159"/>
      <c r="CH239" s="159"/>
      <c r="CI239" s="159"/>
      <c r="CJ239" s="159"/>
      <c r="CK239" s="159"/>
      <c r="CL239" s="159"/>
      <c r="CM239" s="159"/>
      <c r="CN239" s="159"/>
      <c r="CO239" s="159"/>
      <c r="CP239" s="159"/>
      <c r="CQ239" s="159"/>
      <c r="CR239" s="159"/>
      <c r="CS239" s="159"/>
      <c r="CT239" s="159"/>
      <c r="CU239" s="159"/>
      <c r="CV239" s="159"/>
      <c r="CW239" s="159"/>
      <c r="CX239" s="159"/>
      <c r="CY239" s="159"/>
      <c r="CZ239" s="159"/>
      <c r="DA239" s="159"/>
      <c r="DB239" s="159"/>
      <c r="DC239" s="159"/>
      <c r="DD239" s="159"/>
      <c r="DE239" s="159"/>
      <c r="DF239" s="159"/>
      <c r="DG239" s="159"/>
      <c r="DH239" s="159"/>
      <c r="DI239" s="159"/>
      <c r="DJ239" s="159"/>
      <c r="DK239" s="159"/>
      <c r="DL239" s="159"/>
      <c r="DM239" s="159"/>
      <c r="DN239" s="159"/>
      <c r="DO239" s="159"/>
      <c r="DP239" s="159"/>
      <c r="DQ239" s="159"/>
      <c r="DR239" s="159"/>
      <c r="DS239" s="159"/>
      <c r="DT239" s="159"/>
      <c r="DU239" s="159"/>
      <c r="DV239" s="159"/>
      <c r="DW239" s="159"/>
      <c r="DX239" s="159"/>
      <c r="DY239" s="159"/>
      <c r="DZ239" s="159"/>
      <c r="EA239" s="159"/>
      <c r="EB239" s="159"/>
      <c r="EC239" s="159"/>
      <c r="ED239" s="159"/>
      <c r="EE239" s="159"/>
      <c r="EF239" s="159"/>
      <c r="EG239" s="159"/>
      <c r="EH239" s="159"/>
      <c r="EI239" s="159"/>
      <c r="EJ239" s="159"/>
      <c r="EK239" s="159"/>
      <c r="EL239" s="159"/>
      <c r="EM239" s="159"/>
      <c r="EN239" s="159"/>
      <c r="EO239" s="159"/>
      <c r="EP239" s="159"/>
      <c r="EQ239" s="159"/>
      <c r="ER239" s="159"/>
      <c r="ES239" s="159"/>
      <c r="ET239" s="159"/>
      <c r="EU239" s="159"/>
      <c r="EV239" s="159"/>
      <c r="EW239" s="159"/>
      <c r="EX239" s="159"/>
      <c r="EY239" s="159"/>
      <c r="EZ239" s="159"/>
      <c r="FA239" s="159"/>
      <c r="FB239" s="159"/>
      <c r="FC239" s="159"/>
      <c r="FD239" s="159"/>
      <c r="FE239" s="159"/>
      <c r="FF239" s="159"/>
      <c r="FG239" s="159"/>
      <c r="FH239" s="159"/>
      <c r="FI239" s="159"/>
      <c r="FJ239" s="159"/>
      <c r="FK239" s="159"/>
      <c r="FL239" s="159"/>
      <c r="FM239" s="159"/>
      <c r="FN239" s="159"/>
      <c r="FO239" s="159"/>
      <c r="FP239" s="159"/>
      <c r="FQ239" s="159"/>
      <c r="FR239" s="159"/>
      <c r="FS239" s="159"/>
      <c r="FT239" s="159"/>
      <c r="FU239" s="159"/>
      <c r="FV239" s="159"/>
      <c r="FW239" s="159"/>
      <c r="FX239" s="159"/>
      <c r="FY239" s="159"/>
      <c r="FZ239" s="159"/>
      <c r="GA239" s="159"/>
      <c r="GB239" s="159"/>
      <c r="GC239" s="159"/>
      <c r="GD239" s="159"/>
      <c r="GE239" s="159"/>
      <c r="GF239" s="159"/>
      <c r="GG239" s="159"/>
      <c r="GH239" s="159"/>
      <c r="GI239" s="159"/>
      <c r="GJ239" s="159"/>
      <c r="GK239" s="159"/>
      <c r="GL239" s="159"/>
      <c r="GM239" s="159"/>
      <c r="GN239" s="159"/>
      <c r="GO239" s="159"/>
      <c r="GP239" s="159"/>
      <c r="GQ239" s="159"/>
      <c r="GR239" s="159"/>
      <c r="GS239" s="159"/>
      <c r="GT239" s="159"/>
      <c r="GU239" s="159"/>
      <c r="GV239" s="159"/>
      <c r="GW239" s="159"/>
      <c r="GX239" s="159"/>
      <c r="GY239" s="159"/>
      <c r="GZ239" s="159"/>
      <c r="HA239" s="159"/>
      <c r="HB239" s="159"/>
      <c r="HC239" s="159"/>
      <c r="HD239" s="159"/>
      <c r="HE239" s="159"/>
      <c r="HF239" s="159"/>
      <c r="HG239" s="159"/>
      <c r="HH239" s="159"/>
      <c r="HI239" s="159"/>
      <c r="HJ239" s="159"/>
      <c r="HK239" s="159"/>
      <c r="HL239" s="159"/>
      <c r="HM239" s="159"/>
      <c r="HN239" s="159"/>
      <c r="HO239" s="159"/>
      <c r="HP239" s="159"/>
      <c r="HQ239" s="159"/>
      <c r="HR239" s="159"/>
      <c r="HS239" s="159"/>
      <c r="HT239" s="159"/>
      <c r="HU239" s="159"/>
      <c r="HV239" s="159"/>
      <c r="HW239" s="159"/>
      <c r="HX239" s="159"/>
      <c r="HY239" s="159"/>
      <c r="HZ239" s="159"/>
      <c r="IA239" s="159"/>
      <c r="IB239" s="159"/>
      <c r="IC239" s="159"/>
      <c r="ID239" s="159"/>
      <c r="IE239" s="159"/>
      <c r="IF239" s="159"/>
      <c r="IG239" s="159"/>
      <c r="IH239" s="159"/>
      <c r="II239" s="159"/>
      <c r="IJ239" s="159"/>
      <c r="IK239" s="159"/>
      <c r="IL239" s="159"/>
      <c r="IM239" s="159"/>
      <c r="IN239" s="159"/>
      <c r="IO239" s="159"/>
      <c r="IP239" s="159"/>
      <c r="IQ239" s="159"/>
      <c r="IR239" s="159"/>
      <c r="IS239" s="159"/>
      <c r="IT239" s="159"/>
      <c r="IU239" s="159"/>
      <c r="IV239" s="159"/>
    </row>
    <row r="240" spans="1:256">
      <c r="A240" s="160" t="s">
        <v>219</v>
      </c>
      <c r="B240" s="156"/>
      <c r="C240" s="2" t="s">
        <v>220</v>
      </c>
      <c r="D240" s="156"/>
      <c r="E240" s="156"/>
      <c r="F240" s="156"/>
      <c r="G240" s="156"/>
      <c r="H240" s="156"/>
      <c r="I240" s="156"/>
      <c r="J240" s="156"/>
      <c r="K240" s="156"/>
      <c r="L240" s="156"/>
      <c r="M240" s="156"/>
      <c r="N240" s="159"/>
      <c r="O240" s="159"/>
      <c r="P240" s="159"/>
      <c r="Q240" s="159"/>
      <c r="R240" s="159"/>
      <c r="S240" s="159"/>
      <c r="T240" s="159"/>
      <c r="U240" s="159"/>
      <c r="V240" s="159"/>
      <c r="W240" s="159"/>
      <c r="X240" s="159"/>
      <c r="Y240" s="159"/>
      <c r="Z240" s="159"/>
      <c r="AA240" s="159"/>
      <c r="AB240" s="159"/>
      <c r="AC240" s="159"/>
      <c r="AD240" s="159"/>
      <c r="AE240" s="159"/>
      <c r="AF240" s="159"/>
      <c r="AG240" s="159"/>
      <c r="AH240" s="159"/>
      <c r="AI240" s="159"/>
      <c r="AJ240" s="159"/>
      <c r="AK240" s="159"/>
      <c r="AL240" s="159"/>
      <c r="AM240" s="159"/>
      <c r="AN240" s="159"/>
      <c r="AO240" s="159"/>
      <c r="AP240" s="159"/>
      <c r="AQ240" s="159"/>
      <c r="AR240" s="159"/>
      <c r="AS240" s="159"/>
      <c r="AT240" s="159"/>
      <c r="AU240" s="159"/>
      <c r="AV240" s="159"/>
      <c r="AW240" s="159"/>
      <c r="AX240" s="159"/>
      <c r="AY240" s="159"/>
      <c r="AZ240" s="159"/>
      <c r="BA240" s="159"/>
      <c r="BB240" s="159"/>
      <c r="BC240" s="159"/>
      <c r="BD240" s="159"/>
      <c r="BE240" s="159"/>
      <c r="BF240" s="159"/>
      <c r="BG240" s="159"/>
      <c r="BH240" s="159"/>
      <c r="BI240" s="159"/>
      <c r="BJ240" s="159"/>
      <c r="BK240" s="159"/>
      <c r="BL240" s="159"/>
      <c r="BM240" s="159"/>
      <c r="BN240" s="159"/>
      <c r="BO240" s="159"/>
      <c r="BP240" s="159"/>
      <c r="BQ240" s="159"/>
      <c r="BR240" s="159"/>
      <c r="BS240" s="159"/>
      <c r="BT240" s="159"/>
      <c r="BU240" s="159"/>
      <c r="BV240" s="159"/>
      <c r="BW240" s="159"/>
      <c r="BX240" s="159"/>
      <c r="BY240" s="159"/>
      <c r="BZ240" s="159"/>
      <c r="CA240" s="159"/>
      <c r="CB240" s="159"/>
      <c r="CC240" s="159"/>
      <c r="CD240" s="159"/>
      <c r="CE240" s="159"/>
      <c r="CF240" s="159"/>
      <c r="CG240" s="159"/>
      <c r="CH240" s="159"/>
      <c r="CI240" s="159"/>
      <c r="CJ240" s="159"/>
      <c r="CK240" s="159"/>
      <c r="CL240" s="159"/>
      <c r="CM240" s="159"/>
      <c r="CN240" s="159"/>
      <c r="CO240" s="159"/>
      <c r="CP240" s="159"/>
      <c r="CQ240" s="159"/>
      <c r="CR240" s="159"/>
      <c r="CS240" s="159"/>
      <c r="CT240" s="159"/>
      <c r="CU240" s="159"/>
      <c r="CV240" s="159"/>
      <c r="CW240" s="159"/>
      <c r="CX240" s="159"/>
      <c r="CY240" s="159"/>
      <c r="CZ240" s="159"/>
      <c r="DA240" s="159"/>
      <c r="DB240" s="159"/>
      <c r="DC240" s="159"/>
      <c r="DD240" s="159"/>
      <c r="DE240" s="159"/>
      <c r="DF240" s="159"/>
      <c r="DG240" s="159"/>
      <c r="DH240" s="159"/>
      <c r="DI240" s="159"/>
      <c r="DJ240" s="159"/>
      <c r="DK240" s="159"/>
      <c r="DL240" s="159"/>
      <c r="DM240" s="159"/>
      <c r="DN240" s="159"/>
      <c r="DO240" s="159"/>
      <c r="DP240" s="159"/>
      <c r="DQ240" s="159"/>
      <c r="DR240" s="159"/>
      <c r="DS240" s="159"/>
      <c r="DT240" s="159"/>
      <c r="DU240" s="159"/>
      <c r="DV240" s="159"/>
      <c r="DW240" s="159"/>
      <c r="DX240" s="159"/>
      <c r="DY240" s="159"/>
      <c r="DZ240" s="159"/>
      <c r="EA240" s="159"/>
      <c r="EB240" s="159"/>
      <c r="EC240" s="159"/>
      <c r="ED240" s="159"/>
      <c r="EE240" s="159"/>
      <c r="EF240" s="159"/>
      <c r="EG240" s="159"/>
      <c r="EH240" s="159"/>
      <c r="EI240" s="159"/>
      <c r="EJ240" s="159"/>
      <c r="EK240" s="159"/>
      <c r="EL240" s="159"/>
      <c r="EM240" s="159"/>
      <c r="EN240" s="159"/>
      <c r="EO240" s="159"/>
      <c r="EP240" s="159"/>
      <c r="EQ240" s="159"/>
      <c r="ER240" s="159"/>
      <c r="ES240" s="159"/>
      <c r="ET240" s="159"/>
      <c r="EU240" s="159"/>
      <c r="EV240" s="159"/>
      <c r="EW240" s="159"/>
      <c r="EX240" s="159"/>
      <c r="EY240" s="159"/>
      <c r="EZ240" s="159"/>
      <c r="FA240" s="159"/>
      <c r="FB240" s="159"/>
      <c r="FC240" s="159"/>
      <c r="FD240" s="159"/>
      <c r="FE240" s="159"/>
      <c r="FF240" s="159"/>
      <c r="FG240" s="159"/>
      <c r="FH240" s="159"/>
      <c r="FI240" s="159"/>
      <c r="FJ240" s="159"/>
      <c r="FK240" s="159"/>
      <c r="FL240" s="159"/>
      <c r="FM240" s="159"/>
      <c r="FN240" s="159"/>
      <c r="FO240" s="159"/>
      <c r="FP240" s="159"/>
      <c r="FQ240" s="159"/>
      <c r="FR240" s="159"/>
      <c r="FS240" s="159"/>
      <c r="FT240" s="159"/>
      <c r="FU240" s="159"/>
      <c r="FV240" s="159"/>
      <c r="FW240" s="159"/>
      <c r="FX240" s="159"/>
      <c r="FY240" s="159"/>
      <c r="FZ240" s="159"/>
      <c r="GA240" s="159"/>
      <c r="GB240" s="159"/>
      <c r="GC240" s="159"/>
      <c r="GD240" s="159"/>
      <c r="GE240" s="159"/>
      <c r="GF240" s="159"/>
      <c r="GG240" s="159"/>
      <c r="GH240" s="159"/>
      <c r="GI240" s="159"/>
      <c r="GJ240" s="159"/>
      <c r="GK240" s="159"/>
      <c r="GL240" s="159"/>
      <c r="GM240" s="159"/>
      <c r="GN240" s="159"/>
      <c r="GO240" s="159"/>
      <c r="GP240" s="159"/>
      <c r="GQ240" s="159"/>
      <c r="GR240" s="159"/>
      <c r="GS240" s="159"/>
      <c r="GT240" s="159"/>
      <c r="GU240" s="159"/>
      <c r="GV240" s="159"/>
      <c r="GW240" s="159"/>
      <c r="GX240" s="159"/>
      <c r="GY240" s="159"/>
      <c r="GZ240" s="159"/>
      <c r="HA240" s="159"/>
      <c r="HB240" s="159"/>
      <c r="HC240" s="159"/>
      <c r="HD240" s="159"/>
      <c r="HE240" s="159"/>
      <c r="HF240" s="159"/>
      <c r="HG240" s="159"/>
      <c r="HH240" s="159"/>
      <c r="HI240" s="159"/>
      <c r="HJ240" s="159"/>
      <c r="HK240" s="159"/>
      <c r="HL240" s="159"/>
      <c r="HM240" s="159"/>
      <c r="HN240" s="159"/>
      <c r="HO240" s="159"/>
      <c r="HP240" s="159"/>
      <c r="HQ240" s="159"/>
      <c r="HR240" s="159"/>
      <c r="HS240" s="159"/>
      <c r="HT240" s="159"/>
      <c r="HU240" s="159"/>
      <c r="HV240" s="159"/>
      <c r="HW240" s="159"/>
      <c r="HX240" s="159"/>
      <c r="HY240" s="159"/>
      <c r="HZ240" s="159"/>
      <c r="IA240" s="159"/>
      <c r="IB240" s="159"/>
      <c r="IC240" s="159"/>
      <c r="ID240" s="159"/>
      <c r="IE240" s="159"/>
      <c r="IF240" s="159"/>
      <c r="IG240" s="159"/>
      <c r="IH240" s="159"/>
      <c r="II240" s="159"/>
      <c r="IJ240" s="159"/>
      <c r="IK240" s="159"/>
      <c r="IL240" s="159"/>
      <c r="IM240" s="159"/>
      <c r="IN240" s="159"/>
      <c r="IO240" s="159"/>
      <c r="IP240" s="159"/>
      <c r="IQ240" s="159"/>
      <c r="IR240" s="159"/>
      <c r="IS240" s="159"/>
      <c r="IT240" s="159"/>
      <c r="IU240" s="159"/>
      <c r="IV240" s="159"/>
    </row>
    <row r="241" spans="1:17">
      <c r="A241" s="19" t="s">
        <v>221</v>
      </c>
      <c r="B241" s="3"/>
      <c r="C241" s="24" t="s">
        <v>222</v>
      </c>
      <c r="D241" s="3"/>
      <c r="E241" s="3"/>
      <c r="F241" s="3"/>
      <c r="G241" s="3"/>
      <c r="H241" s="3"/>
      <c r="I241" s="3"/>
      <c r="J241" s="3"/>
      <c r="K241" s="3"/>
      <c r="L241" s="3"/>
      <c r="M241" s="19"/>
    </row>
    <row r="242" spans="1:17">
      <c r="A242" s="19"/>
      <c r="B242" s="3"/>
      <c r="C242" s="24" t="s">
        <v>223</v>
      </c>
      <c r="D242" s="3"/>
      <c r="E242" s="3"/>
      <c r="F242" s="3"/>
      <c r="G242" s="3"/>
      <c r="H242" s="3"/>
      <c r="I242" s="3"/>
      <c r="J242" s="3"/>
      <c r="K242" s="3"/>
      <c r="L242" s="3"/>
      <c r="M242" s="19"/>
    </row>
    <row r="243" spans="1:17">
      <c r="A243" s="19" t="s">
        <v>224</v>
      </c>
      <c r="B243" s="3"/>
      <c r="C243" s="2" t="s">
        <v>225</v>
      </c>
      <c r="D243" s="24"/>
      <c r="E243" s="24"/>
      <c r="F243" s="24"/>
      <c r="G243" s="24"/>
      <c r="H243" s="24"/>
      <c r="I243" s="24"/>
      <c r="J243" s="24"/>
      <c r="K243" s="24"/>
      <c r="L243" s="24"/>
      <c r="M243" s="19"/>
    </row>
    <row r="244" spans="1:17">
      <c r="A244" s="50" t="s">
        <v>226</v>
      </c>
      <c r="C244" s="24" t="s">
        <v>227</v>
      </c>
      <c r="D244" s="24"/>
      <c r="E244" s="24"/>
      <c r="F244" s="24"/>
      <c r="G244" s="24"/>
      <c r="H244" s="24"/>
      <c r="I244" s="24"/>
      <c r="J244" s="24"/>
      <c r="K244" s="24"/>
      <c r="L244" s="24"/>
    </row>
    <row r="245" spans="1:17">
      <c r="A245" s="50" t="s">
        <v>228</v>
      </c>
      <c r="C245" s="24" t="s">
        <v>229</v>
      </c>
      <c r="D245" s="24"/>
      <c r="E245" s="24"/>
      <c r="F245" s="24"/>
      <c r="G245" s="24"/>
      <c r="H245" s="24"/>
      <c r="I245" s="24"/>
      <c r="J245" s="24"/>
      <c r="K245" s="24"/>
      <c r="L245" s="24"/>
    </row>
    <row r="246" spans="1:17" ht="69.75" customHeight="1">
      <c r="A246" s="161" t="s">
        <v>230</v>
      </c>
      <c r="C246" s="162" t="s">
        <v>231</v>
      </c>
      <c r="D246" s="162"/>
      <c r="E246" s="162"/>
      <c r="F246" s="162"/>
      <c r="G246" s="162"/>
      <c r="H246" s="162"/>
      <c r="I246" s="162"/>
      <c r="J246" s="162"/>
      <c r="K246" s="162"/>
      <c r="L246" s="162"/>
      <c r="N246" s="163"/>
      <c r="O246" s="163"/>
      <c r="P246" s="163"/>
      <c r="Q246" s="163"/>
    </row>
    <row r="247" spans="1:17" ht="21.75" customHeight="1">
      <c r="N247" s="163"/>
      <c r="O247" s="163"/>
      <c r="P247" s="163"/>
      <c r="Q247" s="163"/>
    </row>
    <row r="248" spans="1:17">
      <c r="C248" s="156"/>
      <c r="D248" s="156"/>
      <c r="E248" s="164"/>
      <c r="F248" s="164"/>
      <c r="G248" s="156"/>
      <c r="H248" s="156"/>
      <c r="N248" s="163"/>
      <c r="O248" s="163"/>
      <c r="P248" s="163"/>
      <c r="Q248" s="163"/>
    </row>
    <row r="249" spans="1:17">
      <c r="C249" s="156"/>
      <c r="D249" s="156"/>
      <c r="E249" s="164"/>
      <c r="F249" s="164"/>
      <c r="G249" s="156"/>
      <c r="H249" s="165"/>
      <c r="N249" s="163"/>
      <c r="O249" s="163"/>
      <c r="P249" s="163"/>
      <c r="Q249" s="163"/>
    </row>
    <row r="250" spans="1:17">
      <c r="C250" s="156"/>
      <c r="D250" s="156"/>
      <c r="E250" s="164"/>
      <c r="F250" s="164"/>
      <c r="G250" s="156"/>
      <c r="H250" s="166"/>
      <c r="N250" s="163"/>
      <c r="O250" s="163"/>
      <c r="P250" s="163"/>
      <c r="Q250" s="163"/>
    </row>
    <row r="251" spans="1:17">
      <c r="C251" s="156"/>
      <c r="D251" s="156"/>
      <c r="E251" s="164"/>
      <c r="F251" s="164"/>
      <c r="G251" s="156"/>
      <c r="H251" s="167"/>
      <c r="N251" s="163"/>
      <c r="O251" s="163"/>
      <c r="P251" s="163"/>
      <c r="Q251" s="163"/>
    </row>
    <row r="252" spans="1:17">
      <c r="N252" s="163"/>
      <c r="O252" s="163"/>
      <c r="P252" s="163"/>
      <c r="Q252" s="163"/>
    </row>
    <row r="253" spans="1:17">
      <c r="N253" s="163"/>
      <c r="O253" s="163"/>
      <c r="P253" s="163"/>
      <c r="Q253" s="163"/>
    </row>
    <row r="254" spans="1:17">
      <c r="N254" s="163"/>
      <c r="O254" s="163"/>
      <c r="P254" s="163"/>
      <c r="Q254" s="163"/>
    </row>
    <row r="255" spans="1:17">
      <c r="N255" s="163"/>
      <c r="O255" s="163"/>
      <c r="P255" s="163"/>
      <c r="Q255" s="163"/>
    </row>
    <row r="256" spans="1:17">
      <c r="N256" s="163"/>
      <c r="O256" s="163"/>
      <c r="P256" s="163"/>
      <c r="Q256" s="163"/>
    </row>
    <row r="257" spans="14:17">
      <c r="N257" s="163"/>
      <c r="O257" s="163"/>
      <c r="P257" s="163"/>
      <c r="Q257" s="163"/>
    </row>
    <row r="258" spans="14:17">
      <c r="N258" s="163"/>
      <c r="O258" s="163"/>
      <c r="P258" s="163"/>
      <c r="Q258" s="163"/>
    </row>
    <row r="259" spans="14:17">
      <c r="N259" s="163"/>
      <c r="O259" s="163"/>
      <c r="P259" s="163"/>
      <c r="Q259" s="163"/>
    </row>
    <row r="260" spans="14:17">
      <c r="N260" s="163"/>
      <c r="O260" s="163"/>
      <c r="P260" s="163"/>
      <c r="Q260" s="163"/>
    </row>
    <row r="261" spans="14:17">
      <c r="N261" s="163"/>
      <c r="O261" s="163"/>
      <c r="P261" s="163"/>
      <c r="Q261" s="163"/>
    </row>
    <row r="262" spans="14:17">
      <c r="N262" s="163"/>
      <c r="O262" s="163"/>
      <c r="P262" s="163"/>
      <c r="Q262" s="163"/>
    </row>
    <row r="263" spans="14:17">
      <c r="N263" s="163"/>
      <c r="O263" s="163"/>
      <c r="P263" s="163"/>
      <c r="Q263" s="163"/>
    </row>
    <row r="264" spans="14:17">
      <c r="N264" s="163"/>
      <c r="O264" s="163"/>
      <c r="P264" s="163"/>
      <c r="Q264" s="163"/>
    </row>
    <row r="265" spans="14:17">
      <c r="N265" s="163"/>
      <c r="O265" s="163"/>
      <c r="P265" s="163"/>
      <c r="Q265" s="163"/>
    </row>
    <row r="266" spans="14:17">
      <c r="N266" s="163"/>
      <c r="O266" s="163"/>
      <c r="P266" s="163"/>
      <c r="Q266" s="163"/>
    </row>
    <row r="267" spans="14:17">
      <c r="N267" s="163"/>
      <c r="O267" s="163"/>
      <c r="P267" s="163"/>
      <c r="Q267" s="163"/>
    </row>
    <row r="268" spans="14:17">
      <c r="N268" s="163"/>
      <c r="O268" s="163"/>
      <c r="P268" s="163"/>
      <c r="Q268" s="163"/>
    </row>
    <row r="269" spans="14:17">
      <c r="N269" s="163"/>
      <c r="O269" s="163"/>
      <c r="P269" s="163"/>
      <c r="Q269" s="163"/>
    </row>
    <row r="270" spans="14:17">
      <c r="N270" s="163"/>
      <c r="O270" s="163"/>
      <c r="P270" s="163"/>
      <c r="Q270" s="163"/>
    </row>
    <row r="271" spans="14:17">
      <c r="N271" s="163"/>
      <c r="O271" s="163"/>
      <c r="P271" s="163"/>
      <c r="Q271" s="163"/>
    </row>
    <row r="272" spans="14:17">
      <c r="N272" s="163"/>
      <c r="O272" s="163"/>
      <c r="P272" s="163"/>
      <c r="Q272" s="163"/>
    </row>
    <row r="273" spans="14:17">
      <c r="N273" s="163"/>
      <c r="O273" s="163"/>
      <c r="P273" s="163"/>
      <c r="Q273" s="163"/>
    </row>
    <row r="274" spans="14:17">
      <c r="N274" s="163"/>
      <c r="O274" s="163"/>
      <c r="P274" s="163"/>
      <c r="Q274" s="163"/>
    </row>
    <row r="275" spans="14:17">
      <c r="N275" s="163"/>
      <c r="O275" s="163"/>
      <c r="P275" s="163"/>
      <c r="Q275" s="163"/>
    </row>
    <row r="276" spans="14:17">
      <c r="N276" s="163"/>
      <c r="O276" s="163"/>
      <c r="P276" s="163"/>
      <c r="Q276" s="163"/>
    </row>
    <row r="277" spans="14:17">
      <c r="N277" s="163"/>
      <c r="O277" s="163"/>
      <c r="P277" s="163"/>
      <c r="Q277" s="163"/>
    </row>
    <row r="278" spans="14:17">
      <c r="N278" s="163"/>
      <c r="O278" s="163"/>
      <c r="P278" s="163"/>
      <c r="Q278" s="163"/>
    </row>
    <row r="279" spans="14:17">
      <c r="N279" s="163"/>
      <c r="O279" s="163"/>
      <c r="P279" s="163"/>
      <c r="Q279" s="163"/>
    </row>
    <row r="280" spans="14:17">
      <c r="N280" s="163"/>
      <c r="O280" s="163"/>
      <c r="P280" s="163"/>
      <c r="Q280" s="163"/>
    </row>
    <row r="281" spans="14:17">
      <c r="N281" s="163"/>
      <c r="O281" s="163"/>
      <c r="P281" s="163"/>
      <c r="Q281" s="163"/>
    </row>
    <row r="282" spans="14:17">
      <c r="N282" s="163"/>
      <c r="O282" s="163"/>
      <c r="P282" s="163"/>
      <c r="Q282" s="163"/>
    </row>
    <row r="283" spans="14:17">
      <c r="N283" s="163"/>
      <c r="O283" s="163"/>
      <c r="P283" s="163"/>
      <c r="Q283" s="163"/>
    </row>
    <row r="284" spans="14:17">
      <c r="N284" s="163"/>
      <c r="O284" s="163"/>
      <c r="P284" s="163"/>
      <c r="Q284" s="163"/>
    </row>
    <row r="285" spans="14:17">
      <c r="N285" s="163"/>
      <c r="O285" s="163"/>
      <c r="P285" s="163"/>
      <c r="Q285" s="163"/>
    </row>
    <row r="286" spans="14:17">
      <c r="N286" s="163"/>
      <c r="O286" s="163"/>
      <c r="P286" s="163"/>
      <c r="Q286" s="163"/>
    </row>
    <row r="287" spans="14:17">
      <c r="N287" s="163"/>
      <c r="O287" s="163"/>
      <c r="P287" s="163"/>
      <c r="Q287" s="163"/>
    </row>
    <row r="288" spans="14:17">
      <c r="N288" s="163"/>
      <c r="O288" s="163"/>
      <c r="P288" s="163"/>
      <c r="Q288" s="163"/>
    </row>
    <row r="289" spans="14:17">
      <c r="N289" s="163"/>
      <c r="O289" s="163"/>
      <c r="P289" s="163"/>
      <c r="Q289" s="163"/>
    </row>
    <row r="290" spans="14:17">
      <c r="N290" s="163"/>
      <c r="O290" s="163"/>
      <c r="P290" s="163"/>
      <c r="Q290" s="163"/>
    </row>
    <row r="291" spans="14:17">
      <c r="N291" s="163"/>
      <c r="O291" s="163"/>
      <c r="P291" s="163"/>
      <c r="Q291" s="163"/>
    </row>
    <row r="292" spans="14:17">
      <c r="N292" s="163"/>
      <c r="O292" s="163"/>
      <c r="P292" s="163"/>
      <c r="Q292" s="163"/>
    </row>
    <row r="293" spans="14:17">
      <c r="N293" s="163"/>
      <c r="O293" s="163"/>
      <c r="P293" s="163"/>
      <c r="Q293" s="163"/>
    </row>
    <row r="294" spans="14:17">
      <c r="N294" s="163"/>
      <c r="O294" s="163"/>
      <c r="P294" s="163"/>
      <c r="Q294" s="163"/>
    </row>
    <row r="295" spans="14:17">
      <c r="N295" s="163"/>
      <c r="O295" s="163"/>
      <c r="P295" s="163"/>
      <c r="Q295" s="163"/>
    </row>
    <row r="296" spans="14:17">
      <c r="N296" s="163"/>
      <c r="O296" s="163"/>
      <c r="P296" s="163"/>
      <c r="Q296" s="163"/>
    </row>
    <row r="297" spans="14:17">
      <c r="N297" s="163"/>
      <c r="O297" s="163"/>
      <c r="P297" s="163"/>
      <c r="Q297" s="163"/>
    </row>
    <row r="298" spans="14:17">
      <c r="N298" s="163"/>
      <c r="O298" s="163"/>
      <c r="P298" s="163"/>
      <c r="Q298" s="163"/>
    </row>
    <row r="299" spans="14:17">
      <c r="N299" s="163"/>
      <c r="O299" s="163"/>
      <c r="P299" s="163"/>
      <c r="Q299" s="163"/>
    </row>
    <row r="300" spans="14:17">
      <c r="N300" s="163"/>
      <c r="O300" s="163"/>
      <c r="P300" s="163"/>
      <c r="Q300" s="163"/>
    </row>
    <row r="301" spans="14:17">
      <c r="N301" s="163"/>
      <c r="O301" s="163"/>
      <c r="P301" s="163"/>
      <c r="Q301" s="163"/>
    </row>
    <row r="302" spans="14:17">
      <c r="N302" s="163"/>
      <c r="O302" s="163"/>
      <c r="P302" s="163"/>
      <c r="Q302" s="163"/>
    </row>
    <row r="303" spans="14:17">
      <c r="N303" s="163"/>
      <c r="O303" s="163"/>
      <c r="P303" s="163"/>
      <c r="Q303" s="163"/>
    </row>
    <row r="304" spans="14:17">
      <c r="N304" s="163"/>
      <c r="O304" s="163"/>
      <c r="P304" s="163"/>
      <c r="Q304" s="163"/>
    </row>
    <row r="305" spans="14:17">
      <c r="N305" s="163"/>
      <c r="O305" s="163"/>
      <c r="P305" s="163"/>
      <c r="Q305" s="163"/>
    </row>
    <row r="306" spans="14:17">
      <c r="N306" s="163"/>
      <c r="O306" s="163"/>
      <c r="P306" s="163"/>
      <c r="Q306" s="163"/>
    </row>
    <row r="307" spans="14:17">
      <c r="N307" s="163"/>
      <c r="O307" s="163"/>
      <c r="P307" s="163"/>
      <c r="Q307" s="163"/>
    </row>
    <row r="308" spans="14:17">
      <c r="N308" s="163"/>
      <c r="O308" s="163"/>
      <c r="P308" s="163"/>
      <c r="Q308" s="163"/>
    </row>
    <row r="309" spans="14:17">
      <c r="N309" s="163"/>
      <c r="O309" s="163"/>
      <c r="P309" s="163"/>
      <c r="Q309" s="163"/>
    </row>
    <row r="310" spans="14:17">
      <c r="N310" s="163"/>
      <c r="O310" s="163"/>
      <c r="P310" s="163"/>
      <c r="Q310" s="163"/>
    </row>
    <row r="311" spans="14:17">
      <c r="N311" s="163"/>
      <c r="O311" s="163"/>
      <c r="P311" s="163"/>
      <c r="Q311" s="163"/>
    </row>
    <row r="312" spans="14:17">
      <c r="N312" s="163"/>
      <c r="O312" s="163"/>
      <c r="P312" s="163"/>
      <c r="Q312" s="163"/>
    </row>
    <row r="313" spans="14:17">
      <c r="N313" s="163"/>
      <c r="O313" s="163"/>
      <c r="P313" s="163"/>
      <c r="Q313" s="163"/>
    </row>
    <row r="314" spans="14:17">
      <c r="N314" s="163"/>
      <c r="O314" s="163"/>
      <c r="P314" s="163"/>
      <c r="Q314" s="163"/>
    </row>
    <row r="315" spans="14:17">
      <c r="N315" s="163"/>
      <c r="O315" s="163"/>
      <c r="P315" s="163"/>
      <c r="Q315" s="163"/>
    </row>
    <row r="316" spans="14:17">
      <c r="N316" s="163"/>
      <c r="O316" s="163"/>
      <c r="P316" s="163"/>
      <c r="Q316" s="163"/>
    </row>
    <row r="317" spans="14:17">
      <c r="N317" s="163"/>
      <c r="O317" s="163"/>
      <c r="P317" s="163"/>
      <c r="Q317" s="163"/>
    </row>
    <row r="318" spans="14:17">
      <c r="N318" s="163"/>
      <c r="O318" s="163"/>
      <c r="P318" s="163"/>
      <c r="Q318" s="163"/>
    </row>
    <row r="319" spans="14:17">
      <c r="N319" s="163"/>
      <c r="O319" s="163"/>
      <c r="P319" s="163"/>
      <c r="Q319" s="163"/>
    </row>
    <row r="320" spans="14:17">
      <c r="N320" s="163"/>
      <c r="O320" s="163"/>
      <c r="P320" s="163"/>
      <c r="Q320" s="163"/>
    </row>
    <row r="321" spans="14:17">
      <c r="N321" s="163"/>
      <c r="O321" s="163"/>
      <c r="P321" s="163"/>
      <c r="Q321" s="163"/>
    </row>
    <row r="322" spans="14:17">
      <c r="N322" s="163"/>
      <c r="O322" s="163"/>
      <c r="P322" s="163"/>
      <c r="Q322" s="163"/>
    </row>
    <row r="323" spans="14:17">
      <c r="N323" s="163"/>
      <c r="O323" s="163"/>
      <c r="P323" s="163"/>
      <c r="Q323" s="163"/>
    </row>
    <row r="324" spans="14:17">
      <c r="N324" s="163"/>
      <c r="O324" s="163"/>
      <c r="P324" s="163"/>
      <c r="Q324" s="163"/>
    </row>
    <row r="325" spans="14:17">
      <c r="N325" s="163"/>
      <c r="O325" s="163"/>
      <c r="P325" s="163"/>
      <c r="Q325" s="163"/>
    </row>
    <row r="326" spans="14:17">
      <c r="N326" s="163"/>
      <c r="O326" s="163"/>
      <c r="P326" s="163"/>
      <c r="Q326" s="163"/>
    </row>
    <row r="327" spans="14:17">
      <c r="N327" s="163"/>
      <c r="O327" s="163"/>
      <c r="P327" s="163"/>
      <c r="Q327" s="163"/>
    </row>
    <row r="328" spans="14:17">
      <c r="N328" s="163"/>
      <c r="O328" s="163"/>
      <c r="P328" s="163"/>
      <c r="Q328" s="163"/>
    </row>
    <row r="329" spans="14:17">
      <c r="N329" s="163"/>
      <c r="O329" s="163"/>
      <c r="P329" s="163"/>
      <c r="Q329" s="163"/>
    </row>
    <row r="330" spans="14:17">
      <c r="N330" s="163"/>
      <c r="O330" s="163"/>
      <c r="P330" s="163"/>
      <c r="Q330" s="163"/>
    </row>
    <row r="331" spans="14:17">
      <c r="N331" s="163"/>
      <c r="O331" s="163"/>
      <c r="P331" s="163"/>
      <c r="Q331" s="163"/>
    </row>
    <row r="332" spans="14:17">
      <c r="N332" s="163"/>
      <c r="O332" s="163"/>
      <c r="P332" s="163"/>
      <c r="Q332" s="163"/>
    </row>
    <row r="333" spans="14:17">
      <c r="N333" s="163"/>
      <c r="O333" s="163"/>
      <c r="P333" s="163"/>
      <c r="Q333" s="163"/>
    </row>
    <row r="334" spans="14:17">
      <c r="N334" s="163"/>
      <c r="O334" s="163"/>
      <c r="P334" s="163"/>
      <c r="Q334" s="163"/>
    </row>
    <row r="335" spans="14:17">
      <c r="N335" s="163"/>
      <c r="O335" s="163"/>
      <c r="P335" s="163"/>
      <c r="Q335" s="163"/>
    </row>
    <row r="336" spans="14:17">
      <c r="N336" s="163"/>
      <c r="O336" s="163"/>
      <c r="P336" s="163"/>
      <c r="Q336" s="163"/>
    </row>
    <row r="337" spans="14:17">
      <c r="N337" s="163"/>
      <c r="O337" s="163"/>
      <c r="P337" s="163"/>
      <c r="Q337" s="163"/>
    </row>
    <row r="338" spans="14:17">
      <c r="N338" s="163"/>
      <c r="O338" s="163"/>
      <c r="P338" s="163"/>
      <c r="Q338" s="163"/>
    </row>
    <row r="339" spans="14:17">
      <c r="N339" s="163"/>
      <c r="O339" s="163"/>
      <c r="P339" s="163"/>
      <c r="Q339" s="163"/>
    </row>
    <row r="340" spans="14:17">
      <c r="N340" s="163"/>
      <c r="O340" s="163"/>
      <c r="P340" s="163"/>
      <c r="Q340" s="163"/>
    </row>
    <row r="341" spans="14:17">
      <c r="N341" s="163"/>
      <c r="O341" s="163"/>
      <c r="P341" s="163"/>
      <c r="Q341" s="163"/>
    </row>
    <row r="342" spans="14:17">
      <c r="N342" s="163"/>
      <c r="O342" s="163"/>
      <c r="P342" s="163"/>
      <c r="Q342" s="163"/>
    </row>
    <row r="343" spans="14:17">
      <c r="N343" s="163"/>
      <c r="O343" s="163"/>
      <c r="P343" s="163"/>
      <c r="Q343" s="163"/>
    </row>
    <row r="344" spans="14:17">
      <c r="N344" s="163"/>
      <c r="O344" s="163"/>
      <c r="P344" s="163"/>
      <c r="Q344" s="163"/>
    </row>
    <row r="345" spans="14:17">
      <c r="N345" s="163"/>
      <c r="O345" s="163"/>
      <c r="P345" s="163"/>
      <c r="Q345" s="163"/>
    </row>
    <row r="346" spans="14:17">
      <c r="N346" s="163"/>
      <c r="O346" s="163"/>
      <c r="P346" s="163"/>
      <c r="Q346" s="163"/>
    </row>
    <row r="347" spans="14:17">
      <c r="N347" s="163"/>
      <c r="O347" s="163"/>
      <c r="P347" s="163"/>
      <c r="Q347" s="163"/>
    </row>
    <row r="348" spans="14:17">
      <c r="N348" s="163"/>
      <c r="O348" s="163"/>
      <c r="P348" s="163"/>
      <c r="Q348" s="163"/>
    </row>
    <row r="349" spans="14:17">
      <c r="N349" s="163"/>
      <c r="O349" s="163"/>
      <c r="P349" s="163"/>
      <c r="Q349" s="163"/>
    </row>
    <row r="350" spans="14:17">
      <c r="N350" s="163"/>
      <c r="O350" s="163"/>
      <c r="P350" s="163"/>
      <c r="Q350" s="163"/>
    </row>
    <row r="351" spans="14:17">
      <c r="N351" s="163"/>
      <c r="O351" s="163"/>
      <c r="P351" s="163"/>
      <c r="Q351" s="163"/>
    </row>
    <row r="352" spans="14:17">
      <c r="N352" s="163"/>
      <c r="O352" s="163"/>
      <c r="P352" s="163"/>
      <c r="Q352" s="163"/>
    </row>
    <row r="353" spans="14:17">
      <c r="N353" s="163"/>
      <c r="O353" s="163"/>
      <c r="P353" s="163"/>
      <c r="Q353" s="163"/>
    </row>
    <row r="354" spans="14:17">
      <c r="N354" s="163"/>
      <c r="O354" s="163"/>
      <c r="P354" s="163"/>
      <c r="Q354" s="163"/>
    </row>
    <row r="355" spans="14:17">
      <c r="N355" s="163"/>
      <c r="O355" s="163"/>
      <c r="P355" s="163"/>
      <c r="Q355" s="163"/>
    </row>
    <row r="356" spans="14:17">
      <c r="N356" s="163"/>
      <c r="O356" s="163"/>
      <c r="P356" s="163"/>
      <c r="Q356" s="163"/>
    </row>
    <row r="357" spans="14:17">
      <c r="N357" s="163"/>
      <c r="O357" s="163"/>
      <c r="P357" s="163"/>
      <c r="Q357" s="163"/>
    </row>
    <row r="358" spans="14:17">
      <c r="N358" s="163"/>
      <c r="O358" s="163"/>
      <c r="P358" s="163"/>
      <c r="Q358" s="163"/>
    </row>
    <row r="359" spans="14:17">
      <c r="N359" s="163"/>
      <c r="O359" s="163"/>
      <c r="P359" s="163"/>
      <c r="Q359" s="163"/>
    </row>
    <row r="360" spans="14:17">
      <c r="N360" s="163"/>
      <c r="O360" s="163"/>
      <c r="P360" s="163"/>
      <c r="Q360" s="163"/>
    </row>
    <row r="361" spans="14:17">
      <c r="N361" s="163"/>
      <c r="O361" s="163"/>
      <c r="P361" s="163"/>
      <c r="Q361" s="163"/>
    </row>
    <row r="362" spans="14:17">
      <c r="N362" s="163"/>
      <c r="O362" s="163"/>
      <c r="P362" s="163"/>
      <c r="Q362" s="163"/>
    </row>
    <row r="363" spans="14:17">
      <c r="N363" s="163"/>
      <c r="O363" s="163"/>
      <c r="P363" s="163"/>
      <c r="Q363" s="163"/>
    </row>
    <row r="364" spans="14:17">
      <c r="N364" s="163"/>
      <c r="O364" s="163"/>
      <c r="P364" s="163"/>
      <c r="Q364" s="163"/>
    </row>
    <row r="365" spans="14:17">
      <c r="N365" s="163"/>
      <c r="O365" s="163"/>
      <c r="P365" s="163"/>
      <c r="Q365" s="163"/>
    </row>
    <row r="366" spans="14:17">
      <c r="N366" s="163"/>
      <c r="O366" s="163"/>
      <c r="P366" s="163"/>
      <c r="Q366" s="163"/>
    </row>
    <row r="367" spans="14:17">
      <c r="N367" s="163"/>
      <c r="O367" s="163"/>
      <c r="P367" s="163"/>
      <c r="Q367" s="163"/>
    </row>
    <row r="368" spans="14:17">
      <c r="N368" s="163"/>
      <c r="O368" s="163"/>
      <c r="P368" s="163"/>
      <c r="Q368" s="163"/>
    </row>
    <row r="369" spans="14:17">
      <c r="N369" s="163"/>
      <c r="O369" s="163"/>
      <c r="P369" s="163"/>
      <c r="Q369" s="163"/>
    </row>
    <row r="370" spans="14:17">
      <c r="N370" s="163"/>
      <c r="O370" s="163"/>
      <c r="P370" s="163"/>
      <c r="Q370" s="163"/>
    </row>
    <row r="371" spans="14:17">
      <c r="N371" s="163"/>
      <c r="O371" s="163"/>
      <c r="P371" s="163"/>
      <c r="Q371" s="163"/>
    </row>
    <row r="372" spans="14:17">
      <c r="N372" s="163"/>
      <c r="O372" s="163"/>
      <c r="P372" s="163"/>
      <c r="Q372" s="163"/>
    </row>
    <row r="373" spans="14:17">
      <c r="N373" s="163"/>
      <c r="O373" s="163"/>
      <c r="P373" s="163"/>
      <c r="Q373" s="163"/>
    </row>
    <row r="374" spans="14:17">
      <c r="N374" s="163"/>
      <c r="O374" s="163"/>
      <c r="P374" s="163"/>
      <c r="Q374" s="163"/>
    </row>
    <row r="375" spans="14:17">
      <c r="N375" s="163"/>
      <c r="O375" s="163"/>
      <c r="P375" s="163"/>
      <c r="Q375" s="163"/>
    </row>
    <row r="376" spans="14:17">
      <c r="N376" s="163"/>
      <c r="O376" s="163"/>
      <c r="P376" s="163"/>
      <c r="Q376" s="163"/>
    </row>
    <row r="377" spans="14:17">
      <c r="N377" s="163"/>
      <c r="O377" s="163"/>
      <c r="P377" s="163"/>
      <c r="Q377" s="163"/>
    </row>
    <row r="378" spans="14:17">
      <c r="N378" s="163"/>
      <c r="O378" s="163"/>
      <c r="P378" s="163"/>
      <c r="Q378" s="163"/>
    </row>
    <row r="379" spans="14:17">
      <c r="N379" s="163"/>
      <c r="O379" s="163"/>
      <c r="P379" s="163"/>
      <c r="Q379" s="163"/>
    </row>
    <row r="380" spans="14:17">
      <c r="N380" s="163"/>
      <c r="O380" s="163"/>
      <c r="P380" s="163"/>
      <c r="Q380" s="163"/>
    </row>
    <row r="381" spans="14:17">
      <c r="N381" s="163"/>
      <c r="O381" s="163"/>
      <c r="P381" s="163"/>
      <c r="Q381" s="163"/>
    </row>
    <row r="382" spans="14:17">
      <c r="N382" s="163"/>
      <c r="O382" s="163"/>
      <c r="P382" s="163"/>
      <c r="Q382" s="163"/>
    </row>
    <row r="383" spans="14:17">
      <c r="N383" s="163"/>
      <c r="O383" s="163"/>
      <c r="P383" s="163"/>
      <c r="Q383" s="163"/>
    </row>
    <row r="384" spans="14:17">
      <c r="N384" s="163"/>
      <c r="O384" s="163"/>
      <c r="P384" s="163"/>
      <c r="Q384" s="163"/>
    </row>
    <row r="385" spans="14:17">
      <c r="N385" s="163"/>
      <c r="O385" s="163"/>
      <c r="P385" s="163"/>
      <c r="Q385" s="163"/>
    </row>
    <row r="386" spans="14:17">
      <c r="N386" s="163"/>
      <c r="O386" s="163"/>
      <c r="P386" s="163"/>
      <c r="Q386" s="163"/>
    </row>
    <row r="387" spans="14:17">
      <c r="N387" s="163"/>
      <c r="O387" s="163"/>
      <c r="P387" s="163"/>
      <c r="Q387" s="163"/>
    </row>
    <row r="388" spans="14:17">
      <c r="N388" s="163"/>
      <c r="O388" s="163"/>
      <c r="P388" s="163"/>
      <c r="Q388" s="163"/>
    </row>
    <row r="389" spans="14:17">
      <c r="N389" s="163"/>
      <c r="O389" s="163"/>
      <c r="P389" s="163"/>
      <c r="Q389" s="163"/>
    </row>
    <row r="390" spans="14:17">
      <c r="N390" s="163"/>
      <c r="O390" s="163"/>
      <c r="P390" s="163"/>
      <c r="Q390" s="163"/>
    </row>
    <row r="391" spans="14:17">
      <c r="N391" s="163"/>
      <c r="O391" s="163"/>
      <c r="P391" s="163"/>
      <c r="Q391" s="163"/>
    </row>
    <row r="392" spans="14:17">
      <c r="N392" s="163"/>
      <c r="O392" s="163"/>
      <c r="P392" s="163"/>
      <c r="Q392" s="163"/>
    </row>
    <row r="393" spans="14:17">
      <c r="N393" s="163"/>
      <c r="O393" s="163"/>
      <c r="P393" s="163"/>
      <c r="Q393" s="163"/>
    </row>
    <row r="394" spans="14:17">
      <c r="N394" s="163"/>
      <c r="O394" s="163"/>
      <c r="P394" s="163"/>
      <c r="Q394" s="163"/>
    </row>
    <row r="395" spans="14:17">
      <c r="N395" s="163"/>
      <c r="O395" s="163"/>
      <c r="P395" s="163"/>
      <c r="Q395" s="163"/>
    </row>
    <row r="396" spans="14:17">
      <c r="N396" s="163"/>
      <c r="O396" s="163"/>
      <c r="P396" s="163"/>
      <c r="Q396" s="163"/>
    </row>
    <row r="397" spans="14:17">
      <c r="N397" s="163"/>
      <c r="O397" s="163"/>
      <c r="P397" s="163"/>
      <c r="Q397" s="163"/>
    </row>
    <row r="398" spans="14:17">
      <c r="N398" s="163"/>
      <c r="O398" s="163"/>
      <c r="P398" s="163"/>
      <c r="Q398" s="163"/>
    </row>
    <row r="399" spans="14:17">
      <c r="N399" s="163"/>
      <c r="O399" s="163"/>
      <c r="P399" s="163"/>
      <c r="Q399" s="163"/>
    </row>
    <row r="400" spans="14:17">
      <c r="N400" s="163"/>
      <c r="O400" s="163"/>
      <c r="P400" s="163"/>
      <c r="Q400" s="163"/>
    </row>
    <row r="401" spans="14:17">
      <c r="N401" s="163"/>
      <c r="O401" s="163"/>
      <c r="P401" s="163"/>
      <c r="Q401" s="163"/>
    </row>
    <row r="402" spans="14:17">
      <c r="N402" s="163"/>
      <c r="O402" s="163"/>
      <c r="P402" s="163"/>
      <c r="Q402" s="163"/>
    </row>
    <row r="403" spans="14:17">
      <c r="N403" s="163"/>
      <c r="O403" s="163"/>
      <c r="P403" s="163"/>
      <c r="Q403" s="163"/>
    </row>
    <row r="404" spans="14:17">
      <c r="N404" s="163"/>
      <c r="O404" s="163"/>
      <c r="P404" s="163"/>
      <c r="Q404" s="163"/>
    </row>
    <row r="405" spans="14:17">
      <c r="N405" s="163"/>
      <c r="O405" s="163"/>
      <c r="P405" s="163"/>
      <c r="Q405" s="163"/>
    </row>
    <row r="406" spans="14:17">
      <c r="N406" s="163"/>
      <c r="O406" s="163"/>
      <c r="P406" s="163"/>
      <c r="Q406" s="163"/>
    </row>
    <row r="407" spans="14:17">
      <c r="N407" s="163"/>
      <c r="O407" s="163"/>
      <c r="P407" s="163"/>
      <c r="Q407" s="163"/>
    </row>
    <row r="408" spans="14:17">
      <c r="N408" s="163"/>
      <c r="O408" s="163"/>
      <c r="P408" s="163"/>
      <c r="Q408" s="163"/>
    </row>
    <row r="409" spans="14:17">
      <c r="N409" s="163"/>
      <c r="O409" s="163"/>
      <c r="P409" s="163"/>
      <c r="Q409" s="163"/>
    </row>
    <row r="410" spans="14:17">
      <c r="N410" s="163"/>
      <c r="O410" s="163"/>
      <c r="P410" s="163"/>
      <c r="Q410" s="163"/>
    </row>
    <row r="411" spans="14:17">
      <c r="N411" s="163"/>
      <c r="O411" s="163"/>
      <c r="P411" s="163"/>
      <c r="Q411" s="163"/>
    </row>
    <row r="412" spans="14:17">
      <c r="N412" s="163"/>
      <c r="O412" s="163"/>
      <c r="P412" s="163"/>
      <c r="Q412" s="163"/>
    </row>
    <row r="413" spans="14:17">
      <c r="N413" s="163"/>
      <c r="O413" s="163"/>
      <c r="P413" s="163"/>
      <c r="Q413" s="163"/>
    </row>
    <row r="414" spans="14:17">
      <c r="N414" s="163"/>
      <c r="O414" s="163"/>
      <c r="P414" s="163"/>
      <c r="Q414" s="163"/>
    </row>
    <row r="415" spans="14:17">
      <c r="N415" s="163"/>
      <c r="O415" s="163"/>
      <c r="P415" s="163"/>
      <c r="Q415" s="163"/>
    </row>
    <row r="416" spans="14:17">
      <c r="N416" s="163"/>
      <c r="O416" s="163"/>
      <c r="P416" s="163"/>
      <c r="Q416" s="163"/>
    </row>
    <row r="417" spans="14:17">
      <c r="N417" s="163"/>
      <c r="O417" s="163"/>
      <c r="P417" s="163"/>
      <c r="Q417" s="163"/>
    </row>
    <row r="418" spans="14:17">
      <c r="N418" s="163"/>
      <c r="O418" s="163"/>
      <c r="P418" s="163"/>
      <c r="Q418" s="163"/>
    </row>
    <row r="419" spans="14:17">
      <c r="N419" s="163"/>
      <c r="O419" s="163"/>
      <c r="P419" s="163"/>
      <c r="Q419" s="163"/>
    </row>
    <row r="420" spans="14:17">
      <c r="N420" s="163"/>
      <c r="O420" s="163"/>
      <c r="P420" s="163"/>
      <c r="Q420" s="163"/>
    </row>
    <row r="421" spans="14:17">
      <c r="N421" s="163"/>
      <c r="O421" s="163"/>
      <c r="P421" s="163"/>
      <c r="Q421" s="163"/>
    </row>
    <row r="422" spans="14:17">
      <c r="N422" s="163"/>
      <c r="O422" s="163"/>
      <c r="P422" s="163"/>
      <c r="Q422" s="163"/>
    </row>
    <row r="423" spans="14:17">
      <c r="N423" s="163"/>
      <c r="O423" s="163"/>
      <c r="P423" s="163"/>
      <c r="Q423" s="163"/>
    </row>
    <row r="424" spans="14:17">
      <c r="N424" s="163"/>
      <c r="O424" s="163"/>
      <c r="P424" s="163"/>
      <c r="Q424" s="163"/>
    </row>
    <row r="425" spans="14:17">
      <c r="N425" s="163"/>
      <c r="O425" s="163"/>
      <c r="P425" s="163"/>
      <c r="Q425" s="163"/>
    </row>
    <row r="426" spans="14:17">
      <c r="N426" s="163"/>
      <c r="O426" s="163"/>
      <c r="P426" s="163"/>
      <c r="Q426" s="163"/>
    </row>
    <row r="427" spans="14:17">
      <c r="N427" s="163"/>
      <c r="O427" s="163"/>
      <c r="P427" s="163"/>
      <c r="Q427" s="163"/>
    </row>
    <row r="428" spans="14:17">
      <c r="N428" s="163"/>
      <c r="O428" s="163"/>
      <c r="P428" s="163"/>
      <c r="Q428" s="163"/>
    </row>
    <row r="429" spans="14:17">
      <c r="N429" s="163"/>
      <c r="O429" s="163"/>
      <c r="P429" s="163"/>
      <c r="Q429" s="163"/>
    </row>
    <row r="430" spans="14:17">
      <c r="N430" s="163"/>
      <c r="O430" s="163"/>
      <c r="P430" s="163"/>
      <c r="Q430" s="163"/>
    </row>
    <row r="431" spans="14:17">
      <c r="N431" s="163"/>
      <c r="O431" s="163"/>
      <c r="P431" s="163"/>
      <c r="Q431" s="163"/>
    </row>
    <row r="432" spans="14:17">
      <c r="N432" s="163"/>
      <c r="O432" s="163"/>
      <c r="P432" s="163"/>
      <c r="Q432" s="163"/>
    </row>
    <row r="433" spans="14:17">
      <c r="N433" s="163"/>
      <c r="O433" s="163"/>
      <c r="P433" s="163"/>
      <c r="Q433" s="163"/>
    </row>
    <row r="434" spans="14:17">
      <c r="N434" s="163"/>
      <c r="O434" s="163"/>
      <c r="P434" s="163"/>
      <c r="Q434" s="163"/>
    </row>
    <row r="435" spans="14:17">
      <c r="N435" s="163"/>
      <c r="O435" s="163"/>
      <c r="P435" s="163"/>
      <c r="Q435" s="163"/>
    </row>
    <row r="436" spans="14:17">
      <c r="N436" s="163"/>
      <c r="O436" s="163"/>
      <c r="P436" s="163"/>
      <c r="Q436" s="163"/>
    </row>
    <row r="437" spans="14:17">
      <c r="N437" s="163"/>
      <c r="O437" s="163"/>
      <c r="P437" s="163"/>
      <c r="Q437" s="163"/>
    </row>
    <row r="438" spans="14:17">
      <c r="N438" s="163"/>
      <c r="O438" s="163"/>
      <c r="P438" s="163"/>
      <c r="Q438" s="163"/>
    </row>
    <row r="439" spans="14:17">
      <c r="N439" s="163"/>
      <c r="O439" s="163"/>
      <c r="P439" s="163"/>
      <c r="Q439" s="163"/>
    </row>
    <row r="440" spans="14:17">
      <c r="N440" s="163"/>
      <c r="O440" s="163"/>
      <c r="P440" s="163"/>
      <c r="Q440" s="163"/>
    </row>
    <row r="441" spans="14:17">
      <c r="N441" s="163"/>
      <c r="O441" s="163"/>
      <c r="P441" s="163"/>
      <c r="Q441" s="163"/>
    </row>
    <row r="442" spans="14:17">
      <c r="N442" s="163"/>
      <c r="O442" s="163"/>
      <c r="P442" s="163"/>
      <c r="Q442" s="163"/>
    </row>
    <row r="443" spans="14:17">
      <c r="N443" s="163"/>
      <c r="O443" s="163"/>
      <c r="P443" s="163"/>
      <c r="Q443" s="163"/>
    </row>
    <row r="444" spans="14:17">
      <c r="N444" s="163"/>
      <c r="O444" s="163"/>
      <c r="P444" s="163"/>
      <c r="Q444" s="163"/>
    </row>
    <row r="445" spans="14:17">
      <c r="N445" s="163"/>
      <c r="O445" s="163"/>
      <c r="P445" s="163"/>
      <c r="Q445" s="163"/>
    </row>
    <row r="446" spans="14:17">
      <c r="N446" s="163"/>
      <c r="O446" s="163"/>
      <c r="P446" s="163"/>
      <c r="Q446" s="163"/>
    </row>
    <row r="447" spans="14:17">
      <c r="N447" s="163"/>
      <c r="O447" s="163"/>
      <c r="P447" s="163"/>
      <c r="Q447" s="163"/>
    </row>
    <row r="448" spans="14:17">
      <c r="N448" s="163"/>
      <c r="O448" s="163"/>
      <c r="P448" s="163"/>
      <c r="Q448" s="163"/>
    </row>
    <row r="449" spans="14:17">
      <c r="N449" s="163"/>
      <c r="O449" s="163"/>
      <c r="P449" s="163"/>
      <c r="Q449" s="163"/>
    </row>
    <row r="450" spans="14:17">
      <c r="N450" s="163"/>
      <c r="O450" s="163"/>
      <c r="P450" s="163"/>
      <c r="Q450" s="163"/>
    </row>
    <row r="451" spans="14:17">
      <c r="N451" s="163"/>
      <c r="O451" s="163"/>
      <c r="P451" s="163"/>
      <c r="Q451" s="163"/>
    </row>
    <row r="452" spans="14:17">
      <c r="N452" s="163"/>
      <c r="O452" s="163"/>
      <c r="P452" s="163"/>
      <c r="Q452" s="163"/>
    </row>
    <row r="453" spans="14:17">
      <c r="N453" s="163"/>
      <c r="O453" s="163"/>
      <c r="P453" s="163"/>
      <c r="Q453" s="163"/>
    </row>
    <row r="454" spans="14:17">
      <c r="N454" s="163"/>
      <c r="O454" s="163"/>
      <c r="P454" s="163"/>
      <c r="Q454" s="163"/>
    </row>
    <row r="455" spans="14:17">
      <c r="N455" s="163"/>
      <c r="O455" s="163"/>
      <c r="P455" s="163"/>
      <c r="Q455" s="163"/>
    </row>
    <row r="456" spans="14:17">
      <c r="N456" s="163"/>
      <c r="O456" s="163"/>
      <c r="P456" s="163"/>
      <c r="Q456" s="163"/>
    </row>
    <row r="457" spans="14:17">
      <c r="N457" s="163"/>
      <c r="O457" s="163"/>
      <c r="P457" s="163"/>
      <c r="Q457" s="163"/>
    </row>
    <row r="458" spans="14:17">
      <c r="N458" s="163"/>
      <c r="O458" s="163"/>
      <c r="P458" s="163"/>
      <c r="Q458" s="163"/>
    </row>
    <row r="459" spans="14:17">
      <c r="N459" s="163"/>
      <c r="O459" s="163"/>
      <c r="P459" s="163"/>
      <c r="Q459" s="163"/>
    </row>
    <row r="460" spans="14:17">
      <c r="N460" s="163"/>
      <c r="O460" s="163"/>
      <c r="P460" s="163"/>
      <c r="Q460" s="163"/>
    </row>
    <row r="461" spans="14:17">
      <c r="N461" s="163"/>
      <c r="O461" s="163"/>
      <c r="P461" s="163"/>
      <c r="Q461" s="163"/>
    </row>
    <row r="462" spans="14:17">
      <c r="N462" s="163"/>
      <c r="O462" s="163"/>
      <c r="P462" s="163"/>
      <c r="Q462" s="163"/>
    </row>
    <row r="463" spans="14:17">
      <c r="N463" s="163"/>
      <c r="O463" s="163"/>
      <c r="P463" s="163"/>
      <c r="Q463" s="163"/>
    </row>
    <row r="464" spans="14:17">
      <c r="N464" s="163"/>
      <c r="O464" s="163"/>
      <c r="P464" s="163"/>
      <c r="Q464" s="163"/>
    </row>
    <row r="465" spans="14:17">
      <c r="N465" s="163"/>
      <c r="O465" s="163"/>
      <c r="P465" s="163"/>
      <c r="Q465" s="163"/>
    </row>
    <row r="466" spans="14:17">
      <c r="N466" s="163"/>
      <c r="O466" s="163"/>
      <c r="P466" s="163"/>
      <c r="Q466" s="163"/>
    </row>
    <row r="467" spans="14:17">
      <c r="N467" s="163"/>
      <c r="O467" s="163"/>
      <c r="P467" s="163"/>
      <c r="Q467" s="163"/>
    </row>
    <row r="468" spans="14:17">
      <c r="N468" s="163"/>
      <c r="O468" s="163"/>
      <c r="P468" s="163"/>
      <c r="Q468" s="163"/>
    </row>
    <row r="469" spans="14:17">
      <c r="N469" s="163"/>
      <c r="O469" s="163"/>
      <c r="P469" s="163"/>
      <c r="Q469" s="163"/>
    </row>
    <row r="470" spans="14:17">
      <c r="N470" s="163"/>
      <c r="O470" s="163"/>
      <c r="P470" s="163"/>
      <c r="Q470" s="163"/>
    </row>
  </sheetData>
  <mergeCells count="19">
    <mergeCell ref="C246:L246"/>
    <mergeCell ref="C227:L227"/>
    <mergeCell ref="C228:L228"/>
    <mergeCell ref="C232:L232"/>
    <mergeCell ref="C233:L233"/>
    <mergeCell ref="C234:L234"/>
    <mergeCell ref="C239:L239"/>
    <mergeCell ref="D166:G166"/>
    <mergeCell ref="K199:M199"/>
    <mergeCell ref="D211:G211"/>
    <mergeCell ref="C220:L220"/>
    <mergeCell ref="C223:L223"/>
    <mergeCell ref="C225:L225"/>
    <mergeCell ref="D7:H7"/>
    <mergeCell ref="D8:G8"/>
    <mergeCell ref="D58:G58"/>
    <mergeCell ref="D68:D69"/>
    <mergeCell ref="D78:D79"/>
    <mergeCell ref="D102:G102"/>
  </mergeCells>
  <pageMargins left="0.52" right="0.25" top="0.77" bottom="0.75" header="0.5" footer="0.5"/>
  <pageSetup scale="44" fitToHeight="0" orientation="landscape" verticalDpi="300" r:id="rId1"/>
  <headerFooter alignWithMargins="0">
    <oddHeader xml:space="preserve">&amp;R&amp;"Times New Roman,Regular"
</oddHeader>
  </headerFooter>
  <rowBreaks count="4" manualBreakCount="4">
    <brk id="48" max="17" man="1"/>
    <brk id="97" max="16383" man="1"/>
    <brk id="157" max="17" man="1"/>
    <brk id="202" max="1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0B8D1-F060-4308-A920-24CF75F0E573}">
  <dimension ref="A1:T178"/>
  <sheetViews>
    <sheetView view="pageBreakPreview" zoomScale="85" zoomScaleNormal="100" zoomScaleSheetLayoutView="85" workbookViewId="0">
      <selection activeCell="G16" sqref="G16"/>
    </sheetView>
  </sheetViews>
  <sheetFormatPr defaultColWidth="8.77734375" defaultRowHeight="15.75"/>
  <cols>
    <col min="1" max="1" width="5.5546875" style="547" customWidth="1"/>
    <col min="2" max="2" width="31" style="539" customWidth="1"/>
    <col min="3" max="3" width="10.5546875" style="547" bestFit="1" customWidth="1"/>
    <col min="4" max="4" width="9.77734375" style="547" bestFit="1" customWidth="1"/>
    <col min="5" max="5" width="10" style="547" bestFit="1" customWidth="1"/>
    <col min="6" max="6" width="14.77734375" style="547" customWidth="1"/>
    <col min="7" max="7" width="14.77734375" style="547" bestFit="1" customWidth="1"/>
    <col min="8" max="8" width="20.88671875" style="547" bestFit="1" customWidth="1"/>
    <col min="9" max="9" width="12" style="665" customWidth="1"/>
    <col min="10" max="10" width="15.77734375" style="665" customWidth="1"/>
    <col min="11" max="11" width="8.77734375" style="665"/>
    <col min="12" max="12" width="12" style="665" customWidth="1"/>
    <col min="13" max="13" width="44.77734375" style="665" customWidth="1"/>
    <col min="14" max="16384" width="8.77734375" style="665"/>
  </cols>
  <sheetData>
    <row r="1" spans="1:20" ht="18" customHeight="1">
      <c r="A1" s="542" t="s">
        <v>736</v>
      </c>
      <c r="B1" s="542"/>
      <c r="C1" s="542"/>
      <c r="D1" s="542"/>
      <c r="E1" s="542"/>
      <c r="F1" s="542"/>
      <c r="G1" s="542"/>
      <c r="H1" s="542"/>
      <c r="I1" s="542"/>
      <c r="J1" s="542"/>
      <c r="K1" s="542"/>
      <c r="L1" s="542"/>
    </row>
    <row r="2" spans="1:20" ht="18" customHeight="1">
      <c r="A2" s="544" t="str">
        <f>+'6a-ADIT Projection'!A2:I2</f>
        <v>Horizon West Transmission, LLC</v>
      </c>
      <c r="B2" s="544"/>
      <c r="C2" s="544"/>
      <c r="D2" s="544"/>
      <c r="E2" s="544"/>
      <c r="F2" s="544"/>
      <c r="G2" s="544"/>
      <c r="H2" s="544"/>
      <c r="I2" s="544"/>
      <c r="J2" s="544"/>
      <c r="K2" s="544"/>
      <c r="L2" s="544"/>
    </row>
    <row r="3" spans="1:20" ht="18" customHeight="1">
      <c r="A3" s="542" t="str">
        <f>'6a-ADIT Projection'!A3</f>
        <v>For the 12 months ended 12/31/2020</v>
      </c>
      <c r="B3" s="542"/>
      <c r="C3" s="542"/>
      <c r="D3" s="542"/>
      <c r="E3" s="542"/>
      <c r="F3" s="542"/>
      <c r="G3" s="542"/>
      <c r="H3" s="666"/>
      <c r="I3" s="542"/>
      <c r="J3" s="542"/>
      <c r="K3" s="542"/>
      <c r="L3" s="542"/>
    </row>
    <row r="4" spans="1:20" ht="18">
      <c r="I4" s="668"/>
      <c r="J4" s="668"/>
    </row>
    <row r="5" spans="1:20">
      <c r="D5" s="665"/>
      <c r="E5" s="665"/>
      <c r="F5" s="665"/>
      <c r="G5" s="665"/>
      <c r="H5" s="665"/>
      <c r="J5" s="547"/>
      <c r="T5" s="667"/>
    </row>
    <row r="6" spans="1:20">
      <c r="B6" s="546" t="s">
        <v>174</v>
      </c>
      <c r="C6" s="546" t="s">
        <v>370</v>
      </c>
      <c r="D6" s="546" t="s">
        <v>713</v>
      </c>
      <c r="E6" s="546" t="s">
        <v>714</v>
      </c>
      <c r="F6" s="546" t="s">
        <v>715</v>
      </c>
      <c r="G6" s="546" t="s">
        <v>716</v>
      </c>
      <c r="H6" s="546" t="s">
        <v>717</v>
      </c>
      <c r="I6" s="667" t="s">
        <v>737</v>
      </c>
      <c r="J6" s="667" t="s">
        <v>738</v>
      </c>
      <c r="K6" s="667" t="s">
        <v>739</v>
      </c>
      <c r="L6" s="667" t="s">
        <v>740</v>
      </c>
    </row>
    <row r="7" spans="1:20" ht="31.5">
      <c r="A7" s="679"/>
      <c r="B7" s="680" t="s">
        <v>718</v>
      </c>
      <c r="C7" s="680" t="s">
        <v>719</v>
      </c>
      <c r="D7" s="680" t="s">
        <v>294</v>
      </c>
      <c r="E7" s="680" t="s">
        <v>741</v>
      </c>
      <c r="F7" s="680" t="s">
        <v>742</v>
      </c>
      <c r="G7" s="680" t="s">
        <v>58</v>
      </c>
      <c r="H7" s="680" t="s">
        <v>743</v>
      </c>
      <c r="I7" s="680" t="s">
        <v>696</v>
      </c>
      <c r="J7" s="680" t="s">
        <v>744</v>
      </c>
      <c r="K7" s="680" t="s">
        <v>697</v>
      </c>
      <c r="L7" s="680" t="s">
        <v>745</v>
      </c>
      <c r="T7" s="667"/>
    </row>
    <row r="8" spans="1:20">
      <c r="A8" s="547" t="s">
        <v>746</v>
      </c>
      <c r="D8" s="546"/>
      <c r="E8" s="546"/>
      <c r="F8" s="546"/>
      <c r="G8" s="546"/>
      <c r="L8" s="685"/>
      <c r="T8" s="667"/>
    </row>
    <row r="9" spans="1:20" ht="20.25" customHeight="1">
      <c r="A9" s="673">
        <v>1</v>
      </c>
      <c r="B9" s="539" t="s">
        <v>747</v>
      </c>
      <c r="C9" s="547" t="s">
        <v>296</v>
      </c>
      <c r="D9" s="681">
        <v>2019</v>
      </c>
      <c r="E9" s="686">
        <f>365/365</f>
        <v>1</v>
      </c>
      <c r="F9" s="165">
        <f>'6c- ADIT BOY'!C54</f>
        <v>-284221</v>
      </c>
      <c r="G9" s="31">
        <f>+F9</f>
        <v>-284221</v>
      </c>
      <c r="H9" s="550">
        <f>+E9*G9</f>
        <v>-284221</v>
      </c>
      <c r="I9" s="687">
        <f>'6c- ADIT BOY'!F54</f>
        <v>0</v>
      </c>
      <c r="J9" s="683">
        <f t="shared" ref="J9:J21" si="0">I9*E9</f>
        <v>0</v>
      </c>
      <c r="K9" s="687">
        <f>'6c- ADIT BOY'!G54</f>
        <v>0</v>
      </c>
      <c r="L9" s="683">
        <f t="shared" ref="L9:L21" si="1">E9*K9</f>
        <v>0</v>
      </c>
    </row>
    <row r="10" spans="1:20" ht="20.25" customHeight="1">
      <c r="A10" s="673">
        <f t="shared" ref="A10:A22" si="2">+A9+1</f>
        <v>2</v>
      </c>
      <c r="B10" s="539" t="s">
        <v>748</v>
      </c>
      <c r="C10" s="547" t="s">
        <v>298</v>
      </c>
      <c r="D10" s="681">
        <v>2020</v>
      </c>
      <c r="E10" s="686">
        <f>335/365</f>
        <v>0.9178082191780822</v>
      </c>
      <c r="F10" s="195">
        <f>-315507/12</f>
        <v>-26292.25</v>
      </c>
      <c r="G10" s="600">
        <f>+F10</f>
        <v>-26292.25</v>
      </c>
      <c r="H10" s="550">
        <f>+E10*G10</f>
        <v>-24131.243150684932</v>
      </c>
      <c r="I10" s="688">
        <v>0</v>
      </c>
      <c r="J10" s="683">
        <f t="shared" si="0"/>
        <v>0</v>
      </c>
      <c r="K10" s="688">
        <v>0</v>
      </c>
      <c r="L10" s="683">
        <f t="shared" si="1"/>
        <v>0</v>
      </c>
    </row>
    <row r="11" spans="1:20" ht="20.25" customHeight="1">
      <c r="A11" s="673">
        <f t="shared" si="2"/>
        <v>3</v>
      </c>
      <c r="B11" s="539" t="s">
        <v>748</v>
      </c>
      <c r="C11" s="547" t="s">
        <v>300</v>
      </c>
      <c r="D11" s="681">
        <f>D10</f>
        <v>2020</v>
      </c>
      <c r="E11" s="686">
        <f>307/365</f>
        <v>0.84109589041095889</v>
      </c>
      <c r="F11" s="195">
        <f t="shared" ref="F11:F21" si="3">-315507/12</f>
        <v>-26292.25</v>
      </c>
      <c r="G11" s="600">
        <f t="shared" ref="G11:G21" si="4">+F11</f>
        <v>-26292.25</v>
      </c>
      <c r="H11" s="550">
        <f t="shared" ref="H11:H21" si="5">+E11*G11</f>
        <v>-22114.303424657533</v>
      </c>
      <c r="I11" s="688">
        <v>0</v>
      </c>
      <c r="J11" s="683">
        <f t="shared" si="0"/>
        <v>0</v>
      </c>
      <c r="K11" s="688">
        <v>0</v>
      </c>
      <c r="L11" s="683">
        <f t="shared" si="1"/>
        <v>0</v>
      </c>
    </row>
    <row r="12" spans="1:20" ht="20.25" customHeight="1">
      <c r="A12" s="673">
        <f t="shared" si="2"/>
        <v>4</v>
      </c>
      <c r="B12" s="539" t="s">
        <v>748</v>
      </c>
      <c r="C12" s="547" t="s">
        <v>301</v>
      </c>
      <c r="D12" s="681">
        <f t="shared" ref="D12:D21" si="6">D11</f>
        <v>2020</v>
      </c>
      <c r="E12" s="686">
        <f>276/365</f>
        <v>0.75616438356164384</v>
      </c>
      <c r="F12" s="195">
        <f t="shared" si="3"/>
        <v>-26292.25</v>
      </c>
      <c r="G12" s="600">
        <f t="shared" si="4"/>
        <v>-26292.25</v>
      </c>
      <c r="H12" s="550">
        <f t="shared" si="5"/>
        <v>-19881.26301369863</v>
      </c>
      <c r="I12" s="688">
        <v>0</v>
      </c>
      <c r="J12" s="683">
        <f t="shared" si="0"/>
        <v>0</v>
      </c>
      <c r="K12" s="688">
        <v>0</v>
      </c>
      <c r="L12" s="683">
        <f t="shared" si="1"/>
        <v>0</v>
      </c>
    </row>
    <row r="13" spans="1:20" ht="20.25" customHeight="1">
      <c r="A13" s="673">
        <f t="shared" si="2"/>
        <v>5</v>
      </c>
      <c r="B13" s="539" t="s">
        <v>748</v>
      </c>
      <c r="C13" s="547" t="s">
        <v>302</v>
      </c>
      <c r="D13" s="681">
        <f t="shared" si="6"/>
        <v>2020</v>
      </c>
      <c r="E13" s="686">
        <f>246/365</f>
        <v>0.67397260273972603</v>
      </c>
      <c r="F13" s="195">
        <f t="shared" si="3"/>
        <v>-26292.25</v>
      </c>
      <c r="G13" s="600">
        <f t="shared" si="4"/>
        <v>-26292.25</v>
      </c>
      <c r="H13" s="550">
        <f t="shared" si="5"/>
        <v>-17720.256164383562</v>
      </c>
      <c r="I13" s="688">
        <v>0</v>
      </c>
      <c r="J13" s="683">
        <f t="shared" si="0"/>
        <v>0</v>
      </c>
      <c r="K13" s="688">
        <v>0</v>
      </c>
      <c r="L13" s="683">
        <f t="shared" si="1"/>
        <v>0</v>
      </c>
    </row>
    <row r="14" spans="1:20" ht="20.25" customHeight="1">
      <c r="A14" s="673">
        <f t="shared" si="2"/>
        <v>6</v>
      </c>
      <c r="B14" s="539" t="s">
        <v>748</v>
      </c>
      <c r="C14" s="547" t="s">
        <v>303</v>
      </c>
      <c r="D14" s="681">
        <f t="shared" si="6"/>
        <v>2020</v>
      </c>
      <c r="E14" s="686">
        <f>215/365</f>
        <v>0.58904109589041098</v>
      </c>
      <c r="F14" s="195">
        <f t="shared" si="3"/>
        <v>-26292.25</v>
      </c>
      <c r="G14" s="600">
        <f t="shared" si="4"/>
        <v>-26292.25</v>
      </c>
      <c r="H14" s="550">
        <f t="shared" si="5"/>
        <v>-15487.215753424658</v>
      </c>
      <c r="I14" s="688">
        <v>0</v>
      </c>
      <c r="J14" s="683">
        <f t="shared" si="0"/>
        <v>0</v>
      </c>
      <c r="K14" s="688">
        <v>0</v>
      </c>
      <c r="L14" s="683">
        <f t="shared" si="1"/>
        <v>0</v>
      </c>
    </row>
    <row r="15" spans="1:20" ht="20.25" customHeight="1">
      <c r="A15" s="673">
        <f t="shared" si="2"/>
        <v>7</v>
      </c>
      <c r="B15" s="539" t="s">
        <v>748</v>
      </c>
      <c r="C15" s="547" t="s">
        <v>469</v>
      </c>
      <c r="D15" s="681">
        <f t="shared" si="6"/>
        <v>2020</v>
      </c>
      <c r="E15" s="686">
        <f>185/365</f>
        <v>0.50684931506849318</v>
      </c>
      <c r="F15" s="195">
        <f t="shared" si="3"/>
        <v>-26292.25</v>
      </c>
      <c r="G15" s="600">
        <f t="shared" si="4"/>
        <v>-26292.25</v>
      </c>
      <c r="H15" s="550">
        <f t="shared" si="5"/>
        <v>-13326.20890410959</v>
      </c>
      <c r="I15" s="688">
        <v>0</v>
      </c>
      <c r="J15" s="683">
        <f t="shared" si="0"/>
        <v>0</v>
      </c>
      <c r="K15" s="688">
        <v>0</v>
      </c>
      <c r="L15" s="683">
        <f t="shared" si="1"/>
        <v>0</v>
      </c>
    </row>
    <row r="16" spans="1:20" ht="20.25" customHeight="1">
      <c r="A16" s="673">
        <f t="shared" si="2"/>
        <v>8</v>
      </c>
      <c r="B16" s="539" t="s">
        <v>748</v>
      </c>
      <c r="C16" s="547" t="s">
        <v>305</v>
      </c>
      <c r="D16" s="681">
        <f t="shared" si="6"/>
        <v>2020</v>
      </c>
      <c r="E16" s="686">
        <f>154/365</f>
        <v>0.42191780821917807</v>
      </c>
      <c r="F16" s="195">
        <f t="shared" si="3"/>
        <v>-26292.25</v>
      </c>
      <c r="G16" s="600">
        <f t="shared" si="4"/>
        <v>-26292.25</v>
      </c>
      <c r="H16" s="550">
        <f t="shared" si="5"/>
        <v>-11093.168493150684</v>
      </c>
      <c r="I16" s="688">
        <v>0</v>
      </c>
      <c r="J16" s="683">
        <f t="shared" si="0"/>
        <v>0</v>
      </c>
      <c r="K16" s="688">
        <v>0</v>
      </c>
      <c r="L16" s="683">
        <f t="shared" si="1"/>
        <v>0</v>
      </c>
    </row>
    <row r="17" spans="1:20" ht="20.25" customHeight="1">
      <c r="A17" s="673">
        <f t="shared" si="2"/>
        <v>9</v>
      </c>
      <c r="B17" s="539" t="s">
        <v>748</v>
      </c>
      <c r="C17" s="547" t="s">
        <v>306</v>
      </c>
      <c r="D17" s="681">
        <f t="shared" si="6"/>
        <v>2020</v>
      </c>
      <c r="E17" s="686">
        <f>123/365</f>
        <v>0.33698630136986302</v>
      </c>
      <c r="F17" s="195">
        <f t="shared" si="3"/>
        <v>-26292.25</v>
      </c>
      <c r="G17" s="600">
        <f t="shared" si="4"/>
        <v>-26292.25</v>
      </c>
      <c r="H17" s="550">
        <f t="shared" si="5"/>
        <v>-8860.1280821917808</v>
      </c>
      <c r="I17" s="688">
        <v>0</v>
      </c>
      <c r="J17" s="683">
        <f t="shared" si="0"/>
        <v>0</v>
      </c>
      <c r="K17" s="688">
        <v>0</v>
      </c>
      <c r="L17" s="683">
        <f t="shared" si="1"/>
        <v>0</v>
      </c>
    </row>
    <row r="18" spans="1:20" ht="20.25" customHeight="1">
      <c r="A18" s="673">
        <f t="shared" si="2"/>
        <v>10</v>
      </c>
      <c r="B18" s="539" t="s">
        <v>748</v>
      </c>
      <c r="C18" s="547" t="s">
        <v>307</v>
      </c>
      <c r="D18" s="681">
        <f t="shared" si="6"/>
        <v>2020</v>
      </c>
      <c r="E18" s="686">
        <f>93/365</f>
        <v>0.25479452054794521</v>
      </c>
      <c r="F18" s="195">
        <f t="shared" si="3"/>
        <v>-26292.25</v>
      </c>
      <c r="G18" s="600">
        <f t="shared" si="4"/>
        <v>-26292.25</v>
      </c>
      <c r="H18" s="550">
        <f t="shared" si="5"/>
        <v>-6699.1212328767124</v>
      </c>
      <c r="I18" s="688">
        <v>0</v>
      </c>
      <c r="J18" s="683">
        <f t="shared" si="0"/>
        <v>0</v>
      </c>
      <c r="K18" s="688">
        <v>0</v>
      </c>
      <c r="L18" s="683">
        <f t="shared" si="1"/>
        <v>0</v>
      </c>
    </row>
    <row r="19" spans="1:20" ht="20.25" customHeight="1">
      <c r="A19" s="673">
        <f t="shared" si="2"/>
        <v>11</v>
      </c>
      <c r="B19" s="539" t="s">
        <v>748</v>
      </c>
      <c r="C19" s="547" t="s">
        <v>314</v>
      </c>
      <c r="D19" s="681">
        <f t="shared" si="6"/>
        <v>2020</v>
      </c>
      <c r="E19" s="686">
        <f>62/365</f>
        <v>0.16986301369863013</v>
      </c>
      <c r="F19" s="195">
        <f t="shared" si="3"/>
        <v>-26292.25</v>
      </c>
      <c r="G19" s="600">
        <f t="shared" si="4"/>
        <v>-26292.25</v>
      </c>
      <c r="H19" s="550">
        <f t="shared" si="5"/>
        <v>-4466.080821917808</v>
      </c>
      <c r="I19" s="688">
        <v>0</v>
      </c>
      <c r="J19" s="683">
        <f t="shared" si="0"/>
        <v>0</v>
      </c>
      <c r="K19" s="688">
        <v>0</v>
      </c>
      <c r="L19" s="683">
        <f t="shared" si="1"/>
        <v>0</v>
      </c>
    </row>
    <row r="20" spans="1:20" ht="20.25" customHeight="1">
      <c r="A20" s="673">
        <f t="shared" si="2"/>
        <v>12</v>
      </c>
      <c r="B20" s="539" t="s">
        <v>748</v>
      </c>
      <c r="C20" s="547" t="s">
        <v>309</v>
      </c>
      <c r="D20" s="681">
        <f t="shared" si="6"/>
        <v>2020</v>
      </c>
      <c r="E20" s="686">
        <f>32/365</f>
        <v>8.7671232876712329E-2</v>
      </c>
      <c r="F20" s="195">
        <f t="shared" si="3"/>
        <v>-26292.25</v>
      </c>
      <c r="G20" s="600">
        <f t="shared" si="4"/>
        <v>-26292.25</v>
      </c>
      <c r="H20" s="550">
        <f t="shared" si="5"/>
        <v>-2305.0739726027396</v>
      </c>
      <c r="I20" s="688">
        <v>0</v>
      </c>
      <c r="J20" s="683">
        <f t="shared" si="0"/>
        <v>0</v>
      </c>
      <c r="K20" s="688">
        <v>0</v>
      </c>
      <c r="L20" s="683">
        <f t="shared" si="1"/>
        <v>0</v>
      </c>
    </row>
    <row r="21" spans="1:20" ht="20.25" customHeight="1">
      <c r="A21" s="673">
        <f t="shared" si="2"/>
        <v>13</v>
      </c>
      <c r="B21" s="539" t="s">
        <v>748</v>
      </c>
      <c r="C21" s="547" t="s">
        <v>296</v>
      </c>
      <c r="D21" s="681">
        <f t="shared" si="6"/>
        <v>2020</v>
      </c>
      <c r="E21" s="686">
        <f>1/365</f>
        <v>2.7397260273972603E-3</v>
      </c>
      <c r="F21" s="195">
        <f t="shared" si="3"/>
        <v>-26292.25</v>
      </c>
      <c r="G21" s="600">
        <f t="shared" si="4"/>
        <v>-26292.25</v>
      </c>
      <c r="H21" s="550">
        <f t="shared" si="5"/>
        <v>-72.033561643835611</v>
      </c>
      <c r="I21" s="688">
        <v>0</v>
      </c>
      <c r="J21" s="683">
        <f t="shared" si="0"/>
        <v>0</v>
      </c>
      <c r="K21" s="688">
        <v>0</v>
      </c>
      <c r="L21" s="683">
        <f t="shared" si="1"/>
        <v>0</v>
      </c>
    </row>
    <row r="22" spans="1:20" ht="20.25" customHeight="1">
      <c r="A22" s="673">
        <f t="shared" si="2"/>
        <v>14</v>
      </c>
      <c r="B22" s="539" t="s">
        <v>749</v>
      </c>
      <c r="F22" s="550">
        <f t="shared" ref="F22:L22" si="7">SUM(F9:F21)</f>
        <v>-599728</v>
      </c>
      <c r="G22" s="550">
        <f t="shared" si="7"/>
        <v>-599728</v>
      </c>
      <c r="H22" s="550">
        <f t="shared" si="7"/>
        <v>-430377.09657534253</v>
      </c>
      <c r="I22" s="683">
        <f t="shared" si="7"/>
        <v>0</v>
      </c>
      <c r="J22" s="683">
        <f t="shared" si="7"/>
        <v>0</v>
      </c>
      <c r="K22" s="683">
        <f t="shared" si="7"/>
        <v>0</v>
      </c>
      <c r="L22" s="683">
        <f t="shared" si="7"/>
        <v>0</v>
      </c>
    </row>
    <row r="23" spans="1:20">
      <c r="A23" s="673"/>
    </row>
    <row r="24" spans="1:20">
      <c r="A24" s="547" t="s">
        <v>750</v>
      </c>
      <c r="D24" s="546"/>
      <c r="E24" s="546"/>
      <c r="F24" s="546"/>
      <c r="G24" s="546"/>
      <c r="T24" s="667"/>
    </row>
    <row r="25" spans="1:20" ht="20.25" customHeight="1">
      <c r="A25" s="673">
        <f>A22+1</f>
        <v>15</v>
      </c>
      <c r="B25" s="539" t="s">
        <v>751</v>
      </c>
      <c r="C25" s="547" t="s">
        <v>296</v>
      </c>
      <c r="D25" s="681">
        <f>D9</f>
        <v>2019</v>
      </c>
      <c r="E25" s="686">
        <f>365/365</f>
        <v>1</v>
      </c>
      <c r="F25" s="165">
        <f>'6c- ADIT BOY'!C74</f>
        <v>0</v>
      </c>
      <c r="G25" s="165">
        <f>'6c- ADIT BOY'!E74</f>
        <v>0</v>
      </c>
      <c r="H25" s="676">
        <f t="shared" ref="H25:H37" si="8">E25*G25</f>
        <v>0</v>
      </c>
      <c r="I25" s="687">
        <f>'6c- ADIT BOY'!F78</f>
        <v>0</v>
      </c>
      <c r="J25" s="683">
        <f t="shared" ref="J25:J37" si="9">I25*E25</f>
        <v>0</v>
      </c>
      <c r="K25" s="687">
        <f>'6c- ADIT BOY'!G78</f>
        <v>0</v>
      </c>
      <c r="L25" s="683">
        <f t="shared" ref="L25:L37" si="10">E25*K25</f>
        <v>0</v>
      </c>
    </row>
    <row r="26" spans="1:20" ht="20.25" customHeight="1">
      <c r="A26" s="673">
        <f t="shared" ref="A26:A38" si="11">+A25+1</f>
        <v>16</v>
      </c>
      <c r="B26" s="539" t="s">
        <v>748</v>
      </c>
      <c r="C26" s="547" t="s">
        <v>298</v>
      </c>
      <c r="D26" s="681">
        <f t="shared" ref="D26:D37" si="12">D10</f>
        <v>2020</v>
      </c>
      <c r="E26" s="686">
        <f>335/365</f>
        <v>0.9178082191780822</v>
      </c>
      <c r="F26" s="195">
        <v>0</v>
      </c>
      <c r="G26" s="195">
        <v>0</v>
      </c>
      <c r="H26" s="676">
        <f t="shared" si="8"/>
        <v>0</v>
      </c>
      <c r="I26" s="688">
        <v>0</v>
      </c>
      <c r="J26" s="683">
        <f t="shared" si="9"/>
        <v>0</v>
      </c>
      <c r="K26" s="688">
        <v>0</v>
      </c>
      <c r="L26" s="683">
        <f t="shared" si="10"/>
        <v>0</v>
      </c>
    </row>
    <row r="27" spans="1:20" ht="20.25" customHeight="1">
      <c r="A27" s="673">
        <f t="shared" si="11"/>
        <v>17</v>
      </c>
      <c r="B27" s="539" t="s">
        <v>748</v>
      </c>
      <c r="C27" s="547" t="s">
        <v>300</v>
      </c>
      <c r="D27" s="681">
        <f t="shared" si="12"/>
        <v>2020</v>
      </c>
      <c r="E27" s="686">
        <f>307/365</f>
        <v>0.84109589041095889</v>
      </c>
      <c r="F27" s="195">
        <v>0</v>
      </c>
      <c r="G27" s="195">
        <v>0</v>
      </c>
      <c r="H27" s="676">
        <f t="shared" si="8"/>
        <v>0</v>
      </c>
      <c r="I27" s="688">
        <v>0</v>
      </c>
      <c r="J27" s="683">
        <f t="shared" si="9"/>
        <v>0</v>
      </c>
      <c r="K27" s="688">
        <v>0</v>
      </c>
      <c r="L27" s="683">
        <f t="shared" si="10"/>
        <v>0</v>
      </c>
    </row>
    <row r="28" spans="1:20" ht="20.25" customHeight="1">
      <c r="A28" s="673">
        <f t="shared" si="11"/>
        <v>18</v>
      </c>
      <c r="B28" s="539" t="s">
        <v>748</v>
      </c>
      <c r="C28" s="547" t="s">
        <v>301</v>
      </c>
      <c r="D28" s="681">
        <f t="shared" si="12"/>
        <v>2020</v>
      </c>
      <c r="E28" s="686">
        <f>276/365</f>
        <v>0.75616438356164384</v>
      </c>
      <c r="F28" s="195">
        <v>0</v>
      </c>
      <c r="G28" s="195">
        <v>0</v>
      </c>
      <c r="H28" s="676">
        <f t="shared" si="8"/>
        <v>0</v>
      </c>
      <c r="I28" s="688">
        <v>0</v>
      </c>
      <c r="J28" s="683">
        <f t="shared" si="9"/>
        <v>0</v>
      </c>
      <c r="K28" s="688">
        <v>0</v>
      </c>
      <c r="L28" s="683">
        <f t="shared" si="10"/>
        <v>0</v>
      </c>
    </row>
    <row r="29" spans="1:20" ht="20.25" customHeight="1">
      <c r="A29" s="673">
        <f t="shared" si="11"/>
        <v>19</v>
      </c>
      <c r="B29" s="539" t="s">
        <v>748</v>
      </c>
      <c r="C29" s="547" t="s">
        <v>302</v>
      </c>
      <c r="D29" s="681">
        <f t="shared" si="12"/>
        <v>2020</v>
      </c>
      <c r="E29" s="686">
        <f>246/365</f>
        <v>0.67397260273972603</v>
      </c>
      <c r="F29" s="195">
        <v>0</v>
      </c>
      <c r="G29" s="195">
        <v>0</v>
      </c>
      <c r="H29" s="676">
        <f t="shared" si="8"/>
        <v>0</v>
      </c>
      <c r="I29" s="688">
        <v>0</v>
      </c>
      <c r="J29" s="683">
        <f t="shared" si="9"/>
        <v>0</v>
      </c>
      <c r="K29" s="688">
        <v>0</v>
      </c>
      <c r="L29" s="683">
        <f t="shared" si="10"/>
        <v>0</v>
      </c>
    </row>
    <row r="30" spans="1:20" ht="20.25" customHeight="1">
      <c r="A30" s="673">
        <f t="shared" si="11"/>
        <v>20</v>
      </c>
      <c r="B30" s="539" t="s">
        <v>748</v>
      </c>
      <c r="C30" s="547" t="s">
        <v>303</v>
      </c>
      <c r="D30" s="681">
        <f t="shared" si="12"/>
        <v>2020</v>
      </c>
      <c r="E30" s="686">
        <f>215/365</f>
        <v>0.58904109589041098</v>
      </c>
      <c r="F30" s="195">
        <v>0</v>
      </c>
      <c r="G30" s="195">
        <v>0</v>
      </c>
      <c r="H30" s="676">
        <f t="shared" si="8"/>
        <v>0</v>
      </c>
      <c r="I30" s="688">
        <v>0</v>
      </c>
      <c r="J30" s="683">
        <f t="shared" si="9"/>
        <v>0</v>
      </c>
      <c r="K30" s="688">
        <v>0</v>
      </c>
      <c r="L30" s="683">
        <f t="shared" si="10"/>
        <v>0</v>
      </c>
    </row>
    <row r="31" spans="1:20" ht="20.25" customHeight="1">
      <c r="A31" s="673">
        <f t="shared" si="11"/>
        <v>21</v>
      </c>
      <c r="B31" s="539" t="s">
        <v>748</v>
      </c>
      <c r="C31" s="547" t="s">
        <v>469</v>
      </c>
      <c r="D31" s="681">
        <f t="shared" si="12"/>
        <v>2020</v>
      </c>
      <c r="E31" s="686">
        <f>185/365</f>
        <v>0.50684931506849318</v>
      </c>
      <c r="F31" s="195">
        <v>0</v>
      </c>
      <c r="G31" s="195">
        <v>0</v>
      </c>
      <c r="H31" s="676">
        <f t="shared" si="8"/>
        <v>0</v>
      </c>
      <c r="I31" s="688">
        <v>0</v>
      </c>
      <c r="J31" s="683">
        <f t="shared" si="9"/>
        <v>0</v>
      </c>
      <c r="K31" s="688">
        <v>0</v>
      </c>
      <c r="L31" s="683">
        <f t="shared" si="10"/>
        <v>0</v>
      </c>
    </row>
    <row r="32" spans="1:20" ht="20.25" customHeight="1">
      <c r="A32" s="673">
        <f t="shared" si="11"/>
        <v>22</v>
      </c>
      <c r="B32" s="539" t="s">
        <v>748</v>
      </c>
      <c r="C32" s="547" t="s">
        <v>305</v>
      </c>
      <c r="D32" s="681">
        <f t="shared" si="12"/>
        <v>2020</v>
      </c>
      <c r="E32" s="686">
        <f>154/365</f>
        <v>0.42191780821917807</v>
      </c>
      <c r="F32" s="195">
        <v>0</v>
      </c>
      <c r="G32" s="195">
        <v>0</v>
      </c>
      <c r="H32" s="676">
        <f t="shared" si="8"/>
        <v>0</v>
      </c>
      <c r="I32" s="688">
        <v>0</v>
      </c>
      <c r="J32" s="683">
        <f t="shared" si="9"/>
        <v>0</v>
      </c>
      <c r="K32" s="688">
        <v>0</v>
      </c>
      <c r="L32" s="683">
        <f t="shared" si="10"/>
        <v>0</v>
      </c>
    </row>
    <row r="33" spans="1:20" ht="20.25" customHeight="1">
      <c r="A33" s="673">
        <f t="shared" si="11"/>
        <v>23</v>
      </c>
      <c r="B33" s="539" t="s">
        <v>748</v>
      </c>
      <c r="C33" s="547" t="s">
        <v>306</v>
      </c>
      <c r="D33" s="681">
        <f t="shared" si="12"/>
        <v>2020</v>
      </c>
      <c r="E33" s="686">
        <f>123/365</f>
        <v>0.33698630136986302</v>
      </c>
      <c r="F33" s="195">
        <v>0</v>
      </c>
      <c r="G33" s="195">
        <v>0</v>
      </c>
      <c r="H33" s="676">
        <f t="shared" si="8"/>
        <v>0</v>
      </c>
      <c r="I33" s="688">
        <v>0</v>
      </c>
      <c r="J33" s="683">
        <f t="shared" si="9"/>
        <v>0</v>
      </c>
      <c r="K33" s="688">
        <v>0</v>
      </c>
      <c r="L33" s="683">
        <f t="shared" si="10"/>
        <v>0</v>
      </c>
    </row>
    <row r="34" spans="1:20" ht="20.25" customHeight="1">
      <c r="A34" s="673">
        <f t="shared" si="11"/>
        <v>24</v>
      </c>
      <c r="B34" s="539" t="s">
        <v>748</v>
      </c>
      <c r="C34" s="547" t="s">
        <v>307</v>
      </c>
      <c r="D34" s="681">
        <f t="shared" si="12"/>
        <v>2020</v>
      </c>
      <c r="E34" s="686">
        <f>93/365</f>
        <v>0.25479452054794521</v>
      </c>
      <c r="F34" s="195">
        <v>0</v>
      </c>
      <c r="G34" s="195">
        <v>0</v>
      </c>
      <c r="H34" s="676">
        <f t="shared" si="8"/>
        <v>0</v>
      </c>
      <c r="I34" s="688">
        <v>0</v>
      </c>
      <c r="J34" s="683">
        <f t="shared" si="9"/>
        <v>0</v>
      </c>
      <c r="K34" s="688">
        <v>0</v>
      </c>
      <c r="L34" s="683">
        <f t="shared" si="10"/>
        <v>0</v>
      </c>
    </row>
    <row r="35" spans="1:20" ht="20.25" customHeight="1">
      <c r="A35" s="673">
        <f t="shared" si="11"/>
        <v>25</v>
      </c>
      <c r="B35" s="539" t="s">
        <v>748</v>
      </c>
      <c r="C35" s="547" t="s">
        <v>314</v>
      </c>
      <c r="D35" s="681">
        <f t="shared" si="12"/>
        <v>2020</v>
      </c>
      <c r="E35" s="686">
        <f>62/365</f>
        <v>0.16986301369863013</v>
      </c>
      <c r="F35" s="195">
        <v>0</v>
      </c>
      <c r="G35" s="195">
        <v>0</v>
      </c>
      <c r="H35" s="676">
        <f t="shared" si="8"/>
        <v>0</v>
      </c>
      <c r="I35" s="688">
        <v>0</v>
      </c>
      <c r="J35" s="683">
        <f t="shared" si="9"/>
        <v>0</v>
      </c>
      <c r="K35" s="688">
        <v>0</v>
      </c>
      <c r="L35" s="683">
        <f t="shared" si="10"/>
        <v>0</v>
      </c>
    </row>
    <row r="36" spans="1:20" ht="20.25" customHeight="1">
      <c r="A36" s="673">
        <f t="shared" si="11"/>
        <v>26</v>
      </c>
      <c r="B36" s="539" t="s">
        <v>748</v>
      </c>
      <c r="C36" s="547" t="s">
        <v>309</v>
      </c>
      <c r="D36" s="681">
        <f t="shared" si="12"/>
        <v>2020</v>
      </c>
      <c r="E36" s="686">
        <f>32/365</f>
        <v>8.7671232876712329E-2</v>
      </c>
      <c r="F36" s="195">
        <v>0</v>
      </c>
      <c r="G36" s="195">
        <v>0</v>
      </c>
      <c r="H36" s="676">
        <f t="shared" si="8"/>
        <v>0</v>
      </c>
      <c r="I36" s="688">
        <v>0</v>
      </c>
      <c r="J36" s="683">
        <f t="shared" si="9"/>
        <v>0</v>
      </c>
      <c r="K36" s="688">
        <v>0</v>
      </c>
      <c r="L36" s="683">
        <f t="shared" si="10"/>
        <v>0</v>
      </c>
    </row>
    <row r="37" spans="1:20" ht="20.25" customHeight="1">
      <c r="A37" s="673">
        <f t="shared" si="11"/>
        <v>27</v>
      </c>
      <c r="B37" s="539" t="s">
        <v>748</v>
      </c>
      <c r="C37" s="547" t="s">
        <v>296</v>
      </c>
      <c r="D37" s="681">
        <f t="shared" si="12"/>
        <v>2020</v>
      </c>
      <c r="E37" s="686">
        <f>1/365</f>
        <v>2.7397260273972603E-3</v>
      </c>
      <c r="F37" s="195">
        <v>0</v>
      </c>
      <c r="G37" s="195">
        <v>0</v>
      </c>
      <c r="H37" s="676">
        <f t="shared" si="8"/>
        <v>0</v>
      </c>
      <c r="I37" s="688">
        <v>0</v>
      </c>
      <c r="J37" s="683">
        <f t="shared" si="9"/>
        <v>0</v>
      </c>
      <c r="K37" s="688">
        <v>0</v>
      </c>
      <c r="L37" s="683">
        <f t="shared" si="10"/>
        <v>0</v>
      </c>
    </row>
    <row r="38" spans="1:20" ht="20.25" customHeight="1">
      <c r="A38" s="673">
        <f t="shared" si="11"/>
        <v>28</v>
      </c>
      <c r="B38" s="539" t="s">
        <v>752</v>
      </c>
      <c r="F38" s="676">
        <f t="shared" ref="F38:L38" si="13">SUM(F25:F37)</f>
        <v>0</v>
      </c>
      <c r="G38" s="676">
        <f t="shared" si="13"/>
        <v>0</v>
      </c>
      <c r="H38" s="676">
        <f t="shared" si="13"/>
        <v>0</v>
      </c>
      <c r="I38" s="683">
        <f t="shared" si="13"/>
        <v>0</v>
      </c>
      <c r="J38" s="683">
        <f t="shared" si="13"/>
        <v>0</v>
      </c>
      <c r="K38" s="683">
        <f t="shared" si="13"/>
        <v>0</v>
      </c>
      <c r="L38" s="683">
        <f t="shared" si="13"/>
        <v>0</v>
      </c>
    </row>
    <row r="39" spans="1:20">
      <c r="A39" s="673"/>
      <c r="F39" s="676"/>
      <c r="G39" s="676"/>
      <c r="I39" s="683"/>
      <c r="J39" s="683"/>
      <c r="K39" s="683"/>
      <c r="L39" s="683"/>
    </row>
    <row r="40" spans="1:20">
      <c r="A40" s="547" t="s">
        <v>753</v>
      </c>
      <c r="D40" s="546"/>
      <c r="E40" s="546"/>
      <c r="F40" s="546"/>
      <c r="G40" s="546"/>
      <c r="T40" s="667"/>
    </row>
    <row r="41" spans="1:20" ht="20.25" customHeight="1">
      <c r="A41" s="673">
        <f>A38+1</f>
        <v>29</v>
      </c>
      <c r="B41" s="539" t="s">
        <v>754</v>
      </c>
      <c r="C41" s="547" t="s">
        <v>296</v>
      </c>
      <c r="D41" s="681">
        <f>D25</f>
        <v>2019</v>
      </c>
      <c r="E41" s="686">
        <f>365/365</f>
        <v>1</v>
      </c>
      <c r="F41" s="165">
        <f>'6c- ADIT BOY'!C28</f>
        <v>0</v>
      </c>
      <c r="G41" s="165">
        <f>'6c- ADIT BOY'!E28</f>
        <v>0</v>
      </c>
      <c r="H41" s="676">
        <f t="shared" ref="H41:H53" si="14">E41*G41</f>
        <v>0</v>
      </c>
      <c r="I41" s="687">
        <f>'6c- ADIT BOY'!F32</f>
        <v>0</v>
      </c>
      <c r="J41" s="683">
        <f t="shared" ref="J41:J53" si="15">I41*E41</f>
        <v>0</v>
      </c>
      <c r="K41" s="687">
        <f>'6c- ADIT BOY'!G32</f>
        <v>0</v>
      </c>
      <c r="L41" s="683">
        <f t="shared" ref="L41:L53" si="16">E41*K41</f>
        <v>0</v>
      </c>
    </row>
    <row r="42" spans="1:20" ht="20.25" customHeight="1">
      <c r="A42" s="673">
        <f t="shared" ref="A42:A54" si="17">+A41+1</f>
        <v>30</v>
      </c>
      <c r="B42" s="539" t="s">
        <v>748</v>
      </c>
      <c r="C42" s="547" t="s">
        <v>298</v>
      </c>
      <c r="D42" s="681">
        <f t="shared" ref="D42:D53" si="18">D26</f>
        <v>2020</v>
      </c>
      <c r="E42" s="686">
        <f>335/365</f>
        <v>0.9178082191780822</v>
      </c>
      <c r="F42" s="195">
        <v>0</v>
      </c>
      <c r="G42" s="195">
        <v>0</v>
      </c>
      <c r="H42" s="676">
        <f t="shared" si="14"/>
        <v>0</v>
      </c>
      <c r="I42" s="688">
        <v>0</v>
      </c>
      <c r="J42" s="683">
        <f t="shared" si="15"/>
        <v>0</v>
      </c>
      <c r="K42" s="688">
        <v>0</v>
      </c>
      <c r="L42" s="683">
        <f t="shared" si="16"/>
        <v>0</v>
      </c>
    </row>
    <row r="43" spans="1:20" ht="20.25" customHeight="1">
      <c r="A43" s="673">
        <f t="shared" si="17"/>
        <v>31</v>
      </c>
      <c r="B43" s="539" t="s">
        <v>748</v>
      </c>
      <c r="C43" s="547" t="s">
        <v>300</v>
      </c>
      <c r="D43" s="681">
        <f t="shared" si="18"/>
        <v>2020</v>
      </c>
      <c r="E43" s="686">
        <f>307/365</f>
        <v>0.84109589041095889</v>
      </c>
      <c r="F43" s="195">
        <v>0</v>
      </c>
      <c r="G43" s="195">
        <v>0</v>
      </c>
      <c r="H43" s="676">
        <f t="shared" si="14"/>
        <v>0</v>
      </c>
      <c r="I43" s="688">
        <v>0</v>
      </c>
      <c r="J43" s="683">
        <f t="shared" si="15"/>
        <v>0</v>
      </c>
      <c r="K43" s="688">
        <v>0</v>
      </c>
      <c r="L43" s="683">
        <f t="shared" si="16"/>
        <v>0</v>
      </c>
    </row>
    <row r="44" spans="1:20" ht="20.25" customHeight="1">
      <c r="A44" s="673">
        <f t="shared" si="17"/>
        <v>32</v>
      </c>
      <c r="B44" s="539" t="s">
        <v>748</v>
      </c>
      <c r="C44" s="547" t="s">
        <v>301</v>
      </c>
      <c r="D44" s="681">
        <f t="shared" si="18"/>
        <v>2020</v>
      </c>
      <c r="E44" s="686">
        <f>276/365</f>
        <v>0.75616438356164384</v>
      </c>
      <c r="F44" s="195">
        <v>0</v>
      </c>
      <c r="G44" s="195">
        <v>0</v>
      </c>
      <c r="H44" s="676">
        <f t="shared" si="14"/>
        <v>0</v>
      </c>
      <c r="I44" s="688">
        <v>0</v>
      </c>
      <c r="J44" s="683">
        <f t="shared" si="15"/>
        <v>0</v>
      </c>
      <c r="K44" s="688">
        <v>0</v>
      </c>
      <c r="L44" s="683">
        <f t="shared" si="16"/>
        <v>0</v>
      </c>
    </row>
    <row r="45" spans="1:20" ht="20.25" customHeight="1">
      <c r="A45" s="673">
        <f t="shared" si="17"/>
        <v>33</v>
      </c>
      <c r="B45" s="539" t="s">
        <v>748</v>
      </c>
      <c r="C45" s="547" t="s">
        <v>302</v>
      </c>
      <c r="D45" s="681">
        <f t="shared" si="18"/>
        <v>2020</v>
      </c>
      <c r="E45" s="686">
        <f>246/365</f>
        <v>0.67397260273972603</v>
      </c>
      <c r="F45" s="195">
        <v>0</v>
      </c>
      <c r="G45" s="195">
        <v>0</v>
      </c>
      <c r="H45" s="676">
        <f t="shared" si="14"/>
        <v>0</v>
      </c>
      <c r="I45" s="688">
        <v>0</v>
      </c>
      <c r="J45" s="683">
        <f t="shared" si="15"/>
        <v>0</v>
      </c>
      <c r="K45" s="688">
        <v>0</v>
      </c>
      <c r="L45" s="683">
        <f t="shared" si="16"/>
        <v>0</v>
      </c>
    </row>
    <row r="46" spans="1:20" ht="20.25" customHeight="1">
      <c r="A46" s="673">
        <f t="shared" si="17"/>
        <v>34</v>
      </c>
      <c r="B46" s="539" t="s">
        <v>748</v>
      </c>
      <c r="C46" s="547" t="s">
        <v>303</v>
      </c>
      <c r="D46" s="681">
        <f t="shared" si="18"/>
        <v>2020</v>
      </c>
      <c r="E46" s="686">
        <f>215/365</f>
        <v>0.58904109589041098</v>
      </c>
      <c r="F46" s="195">
        <v>0</v>
      </c>
      <c r="G46" s="195">
        <v>0</v>
      </c>
      <c r="H46" s="676">
        <f t="shared" si="14"/>
        <v>0</v>
      </c>
      <c r="I46" s="688">
        <v>0</v>
      </c>
      <c r="J46" s="683">
        <f t="shared" si="15"/>
        <v>0</v>
      </c>
      <c r="K46" s="688">
        <v>0</v>
      </c>
      <c r="L46" s="683">
        <f t="shared" si="16"/>
        <v>0</v>
      </c>
    </row>
    <row r="47" spans="1:20" ht="20.25" customHeight="1">
      <c r="A47" s="673">
        <f t="shared" si="17"/>
        <v>35</v>
      </c>
      <c r="B47" s="539" t="s">
        <v>748</v>
      </c>
      <c r="C47" s="547" t="s">
        <v>469</v>
      </c>
      <c r="D47" s="681">
        <f t="shared" si="18"/>
        <v>2020</v>
      </c>
      <c r="E47" s="686">
        <f>185/365</f>
        <v>0.50684931506849318</v>
      </c>
      <c r="F47" s="195">
        <v>0</v>
      </c>
      <c r="G47" s="195">
        <v>0</v>
      </c>
      <c r="H47" s="676">
        <f t="shared" si="14"/>
        <v>0</v>
      </c>
      <c r="I47" s="688">
        <v>0</v>
      </c>
      <c r="J47" s="683">
        <f t="shared" si="15"/>
        <v>0</v>
      </c>
      <c r="K47" s="688">
        <v>0</v>
      </c>
      <c r="L47" s="683">
        <f t="shared" si="16"/>
        <v>0</v>
      </c>
    </row>
    <row r="48" spans="1:20" ht="20.25" customHeight="1">
      <c r="A48" s="673">
        <f t="shared" si="17"/>
        <v>36</v>
      </c>
      <c r="B48" s="539" t="s">
        <v>748</v>
      </c>
      <c r="C48" s="547" t="s">
        <v>305</v>
      </c>
      <c r="D48" s="681">
        <f t="shared" si="18"/>
        <v>2020</v>
      </c>
      <c r="E48" s="686">
        <f>154/365</f>
        <v>0.42191780821917807</v>
      </c>
      <c r="F48" s="195">
        <v>0</v>
      </c>
      <c r="G48" s="195">
        <v>0</v>
      </c>
      <c r="H48" s="676">
        <f t="shared" si="14"/>
        <v>0</v>
      </c>
      <c r="I48" s="688">
        <v>0</v>
      </c>
      <c r="J48" s="683">
        <f t="shared" si="15"/>
        <v>0</v>
      </c>
      <c r="K48" s="688">
        <v>0</v>
      </c>
      <c r="L48" s="683">
        <f t="shared" si="16"/>
        <v>0</v>
      </c>
    </row>
    <row r="49" spans="1:12" ht="20.25" customHeight="1">
      <c r="A49" s="673">
        <f t="shared" si="17"/>
        <v>37</v>
      </c>
      <c r="B49" s="539" t="s">
        <v>748</v>
      </c>
      <c r="C49" s="547" t="s">
        <v>306</v>
      </c>
      <c r="D49" s="681">
        <f t="shared" si="18"/>
        <v>2020</v>
      </c>
      <c r="E49" s="686">
        <f>123/365</f>
        <v>0.33698630136986302</v>
      </c>
      <c r="F49" s="195">
        <v>0</v>
      </c>
      <c r="G49" s="195">
        <v>0</v>
      </c>
      <c r="H49" s="676">
        <f t="shared" si="14"/>
        <v>0</v>
      </c>
      <c r="I49" s="688">
        <v>0</v>
      </c>
      <c r="J49" s="683">
        <f t="shared" si="15"/>
        <v>0</v>
      </c>
      <c r="K49" s="688">
        <v>0</v>
      </c>
      <c r="L49" s="683">
        <f t="shared" si="16"/>
        <v>0</v>
      </c>
    </row>
    <row r="50" spans="1:12" ht="20.25" customHeight="1">
      <c r="A50" s="673">
        <f t="shared" si="17"/>
        <v>38</v>
      </c>
      <c r="B50" s="539" t="s">
        <v>748</v>
      </c>
      <c r="C50" s="547" t="s">
        <v>307</v>
      </c>
      <c r="D50" s="681">
        <f t="shared" si="18"/>
        <v>2020</v>
      </c>
      <c r="E50" s="686">
        <f>93/365</f>
        <v>0.25479452054794521</v>
      </c>
      <c r="F50" s="195">
        <v>0</v>
      </c>
      <c r="G50" s="195">
        <v>0</v>
      </c>
      <c r="H50" s="676">
        <f t="shared" si="14"/>
        <v>0</v>
      </c>
      <c r="I50" s="688">
        <v>0</v>
      </c>
      <c r="J50" s="683">
        <f t="shared" si="15"/>
        <v>0</v>
      </c>
      <c r="K50" s="688">
        <v>0</v>
      </c>
      <c r="L50" s="683">
        <f t="shared" si="16"/>
        <v>0</v>
      </c>
    </row>
    <row r="51" spans="1:12" ht="20.25" customHeight="1">
      <c r="A51" s="673">
        <f t="shared" si="17"/>
        <v>39</v>
      </c>
      <c r="B51" s="539" t="s">
        <v>748</v>
      </c>
      <c r="C51" s="547" t="s">
        <v>314</v>
      </c>
      <c r="D51" s="681">
        <f t="shared" si="18"/>
        <v>2020</v>
      </c>
      <c r="E51" s="686">
        <f>62/365</f>
        <v>0.16986301369863013</v>
      </c>
      <c r="F51" s="195">
        <v>0</v>
      </c>
      <c r="G51" s="195">
        <v>0</v>
      </c>
      <c r="H51" s="676">
        <f t="shared" si="14"/>
        <v>0</v>
      </c>
      <c r="I51" s="688">
        <v>0</v>
      </c>
      <c r="J51" s="683">
        <f t="shared" si="15"/>
        <v>0</v>
      </c>
      <c r="K51" s="688">
        <v>0</v>
      </c>
      <c r="L51" s="683">
        <f t="shared" si="16"/>
        <v>0</v>
      </c>
    </row>
    <row r="52" spans="1:12" ht="20.25" customHeight="1">
      <c r="A52" s="673">
        <f t="shared" si="17"/>
        <v>40</v>
      </c>
      <c r="B52" s="539" t="s">
        <v>748</v>
      </c>
      <c r="C52" s="547" t="s">
        <v>309</v>
      </c>
      <c r="D52" s="681">
        <f t="shared" si="18"/>
        <v>2020</v>
      </c>
      <c r="E52" s="686">
        <f>32/365</f>
        <v>8.7671232876712329E-2</v>
      </c>
      <c r="F52" s="195">
        <v>0</v>
      </c>
      <c r="G52" s="195">
        <v>0</v>
      </c>
      <c r="H52" s="676">
        <f t="shared" si="14"/>
        <v>0</v>
      </c>
      <c r="I52" s="688">
        <v>0</v>
      </c>
      <c r="J52" s="683">
        <f t="shared" si="15"/>
        <v>0</v>
      </c>
      <c r="K52" s="688">
        <v>0</v>
      </c>
      <c r="L52" s="683">
        <f t="shared" si="16"/>
        <v>0</v>
      </c>
    </row>
    <row r="53" spans="1:12" ht="20.25" customHeight="1">
      <c r="A53" s="673">
        <f t="shared" si="17"/>
        <v>41</v>
      </c>
      <c r="B53" s="539" t="s">
        <v>748</v>
      </c>
      <c r="C53" s="547" t="s">
        <v>296</v>
      </c>
      <c r="D53" s="681">
        <f t="shared" si="18"/>
        <v>2020</v>
      </c>
      <c r="E53" s="686">
        <f>1/365</f>
        <v>2.7397260273972603E-3</v>
      </c>
      <c r="F53" s="195">
        <v>0</v>
      </c>
      <c r="G53" s="195">
        <v>0</v>
      </c>
      <c r="H53" s="676">
        <f t="shared" si="14"/>
        <v>0</v>
      </c>
      <c r="I53" s="688">
        <v>0</v>
      </c>
      <c r="J53" s="683">
        <f t="shared" si="15"/>
        <v>0</v>
      </c>
      <c r="K53" s="688">
        <v>0</v>
      </c>
      <c r="L53" s="683">
        <f t="shared" si="16"/>
        <v>0</v>
      </c>
    </row>
    <row r="54" spans="1:12" ht="20.25" customHeight="1">
      <c r="A54" s="673">
        <f t="shared" si="17"/>
        <v>42</v>
      </c>
      <c r="B54" s="539" t="s">
        <v>755</v>
      </c>
      <c r="F54" s="676">
        <f t="shared" ref="F54:L54" si="19">SUM(F41:F53)</f>
        <v>0</v>
      </c>
      <c r="G54" s="676">
        <f t="shared" si="19"/>
        <v>0</v>
      </c>
      <c r="H54" s="676">
        <f t="shared" si="19"/>
        <v>0</v>
      </c>
      <c r="I54" s="683">
        <f t="shared" si="19"/>
        <v>0</v>
      </c>
      <c r="J54" s="683">
        <f t="shared" si="19"/>
        <v>0</v>
      </c>
      <c r="K54" s="683">
        <f t="shared" si="19"/>
        <v>0</v>
      </c>
      <c r="L54" s="683">
        <f t="shared" si="19"/>
        <v>0</v>
      </c>
    </row>
    <row r="55" spans="1:12">
      <c r="B55" s="547"/>
    </row>
    <row r="56" spans="1:12">
      <c r="B56" s="547"/>
    </row>
    <row r="57" spans="1:12" ht="15.75" customHeight="1">
      <c r="A57" s="555" t="s">
        <v>246</v>
      </c>
      <c r="B57" s="547" t="s">
        <v>756</v>
      </c>
    </row>
    <row r="58" spans="1:12">
      <c r="A58" s="555" t="s">
        <v>248</v>
      </c>
      <c r="B58" s="547" t="s">
        <v>757</v>
      </c>
      <c r="D58" s="689"/>
      <c r="E58" s="689"/>
      <c r="F58" s="689"/>
      <c r="G58" s="689"/>
      <c r="H58" s="689"/>
      <c r="I58" s="690"/>
    </row>
    <row r="59" spans="1:12">
      <c r="A59" s="691" t="s">
        <v>186</v>
      </c>
      <c r="B59" s="547" t="s">
        <v>758</v>
      </c>
      <c r="D59" s="689"/>
      <c r="E59" s="689"/>
      <c r="F59" s="689"/>
      <c r="G59" s="689"/>
      <c r="H59" s="689"/>
      <c r="I59" s="690"/>
    </row>
    <row r="60" spans="1:12">
      <c r="A60" s="691" t="s">
        <v>188</v>
      </c>
      <c r="B60" s="547" t="s">
        <v>759</v>
      </c>
      <c r="D60" s="689"/>
      <c r="E60" s="689"/>
      <c r="F60" s="689"/>
      <c r="G60" s="689"/>
      <c r="H60" s="689"/>
      <c r="I60" s="690"/>
    </row>
    <row r="61" spans="1:12">
      <c r="A61" s="691" t="s">
        <v>190</v>
      </c>
      <c r="B61" s="539" t="s">
        <v>760</v>
      </c>
      <c r="D61" s="546"/>
      <c r="E61" s="546"/>
    </row>
    <row r="62" spans="1:12">
      <c r="D62" s="444"/>
      <c r="E62" s="444"/>
    </row>
    <row r="63" spans="1:12">
      <c r="D63" s="444"/>
      <c r="E63" s="444"/>
    </row>
    <row r="64" spans="1:12">
      <c r="D64" s="444"/>
      <c r="E64" s="444"/>
    </row>
    <row r="65" spans="2:10">
      <c r="D65" s="444"/>
      <c r="E65" s="444"/>
    </row>
    <row r="66" spans="2:10">
      <c r="D66" s="444"/>
      <c r="E66" s="444"/>
      <c r="J66" s="444"/>
    </row>
    <row r="67" spans="2:10">
      <c r="D67" s="444"/>
      <c r="E67" s="444"/>
    </row>
    <row r="68" spans="2:10">
      <c r="D68" s="444"/>
      <c r="E68" s="444"/>
    </row>
    <row r="69" spans="2:10">
      <c r="D69" s="444"/>
      <c r="E69" s="444"/>
    </row>
    <row r="70" spans="2:10">
      <c r="D70" s="444"/>
      <c r="E70" s="444"/>
    </row>
    <row r="71" spans="2:10">
      <c r="D71" s="444"/>
      <c r="E71" s="444"/>
    </row>
    <row r="72" spans="2:10">
      <c r="B72" s="547"/>
      <c r="D72" s="444"/>
      <c r="E72" s="444"/>
    </row>
    <row r="73" spans="2:10">
      <c r="D73" s="444"/>
      <c r="E73" s="444"/>
    </row>
    <row r="74" spans="2:10">
      <c r="B74" s="547"/>
      <c r="D74" s="444"/>
      <c r="E74" s="444"/>
    </row>
    <row r="178" spans="9:9">
      <c r="I178" s="684"/>
    </row>
  </sheetData>
  <mergeCells count="3">
    <mergeCell ref="A1:L1"/>
    <mergeCell ref="A2:L2"/>
    <mergeCell ref="A3:L3"/>
  </mergeCells>
  <printOptions horizontalCentered="1"/>
  <pageMargins left="0.25" right="0.25" top="0.5" bottom="0.5" header="0.3" footer="0.3"/>
  <pageSetup scale="43" fitToHeight="2" orientation="landscape"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4E274-B96D-4607-A040-9C535274274B}">
  <dimension ref="A1:U210"/>
  <sheetViews>
    <sheetView view="pageBreakPreview" zoomScale="70" zoomScaleNormal="70" zoomScaleSheetLayoutView="70" workbookViewId="0">
      <selection activeCell="G16" sqref="G16"/>
    </sheetView>
  </sheetViews>
  <sheetFormatPr defaultColWidth="8.77734375" defaultRowHeight="15.75"/>
  <cols>
    <col min="1" max="1" width="5.21875" style="547" customWidth="1"/>
    <col min="2" max="2" width="51.44140625" style="539" customWidth="1"/>
    <col min="3" max="3" width="22" style="547" customWidth="1"/>
    <col min="4" max="4" width="16.21875" style="547" customWidth="1"/>
    <col min="5" max="5" width="11.77734375" style="547" customWidth="1"/>
    <col min="6" max="6" width="13.77734375" style="547" customWidth="1"/>
    <col min="7" max="7" width="13" style="547" customWidth="1"/>
    <col min="8" max="8" width="77.5546875" style="547" customWidth="1"/>
    <col min="9" max="16384" width="8.77734375" style="665"/>
  </cols>
  <sheetData>
    <row r="1" spans="1:21" ht="18">
      <c r="B1" s="542" t="s">
        <v>761</v>
      </c>
      <c r="C1" s="542"/>
      <c r="D1" s="542"/>
      <c r="E1" s="542"/>
      <c r="F1" s="542"/>
      <c r="G1" s="542"/>
      <c r="H1" s="542"/>
      <c r="I1" s="668"/>
      <c r="J1" s="668"/>
    </row>
    <row r="2" spans="1:21" ht="18">
      <c r="B2" s="542" t="str">
        <f>'6d- ADIT EOY'!B2:H2</f>
        <v>For the 12 months ended 12/31/2020</v>
      </c>
      <c r="C2" s="542"/>
      <c r="D2" s="542"/>
      <c r="E2" s="542"/>
      <c r="F2" s="542"/>
      <c r="G2" s="542"/>
      <c r="H2" s="542"/>
      <c r="I2" s="668"/>
      <c r="J2" s="668"/>
    </row>
    <row r="3" spans="1:21" ht="18">
      <c r="B3" s="542"/>
      <c r="C3" s="542"/>
      <c r="D3" s="542"/>
      <c r="E3" s="542"/>
      <c r="F3" s="542"/>
      <c r="G3" s="542"/>
      <c r="H3" s="666"/>
      <c r="I3" s="668"/>
      <c r="J3" s="668"/>
    </row>
    <row r="4" spans="1:21" ht="18">
      <c r="B4" s="547"/>
      <c r="I4" s="668"/>
      <c r="J4" s="668"/>
    </row>
    <row r="5" spans="1:21">
      <c r="D5" s="546"/>
      <c r="E5" s="546"/>
      <c r="G5" s="546"/>
    </row>
    <row r="6" spans="1:21">
      <c r="D6" s="665"/>
      <c r="E6" s="665"/>
      <c r="F6" s="665"/>
      <c r="G6" s="665"/>
      <c r="U6" s="667"/>
    </row>
    <row r="7" spans="1:21" ht="34.5" customHeight="1">
      <c r="A7" s="669" t="s">
        <v>694</v>
      </c>
      <c r="B7" s="669" t="s">
        <v>695</v>
      </c>
      <c r="C7" s="670"/>
      <c r="D7" s="671"/>
      <c r="E7" s="672" t="s">
        <v>389</v>
      </c>
      <c r="F7" s="672" t="s">
        <v>696</v>
      </c>
      <c r="G7" s="669" t="s">
        <v>697</v>
      </c>
      <c r="H7" s="670"/>
      <c r="U7" s="667"/>
    </row>
    <row r="8" spans="1:21">
      <c r="B8" s="673"/>
      <c r="D8" s="665"/>
      <c r="L8" s="674"/>
    </row>
    <row r="9" spans="1:21" ht="20.25" customHeight="1">
      <c r="A9" s="547">
        <v>1</v>
      </c>
      <c r="B9" s="547" t="s">
        <v>721</v>
      </c>
      <c r="D9" s="665"/>
      <c r="E9" s="31">
        <f>+E54</f>
        <v>-284221</v>
      </c>
      <c r="F9" s="31">
        <f>+F54</f>
        <v>0</v>
      </c>
      <c r="G9" s="31">
        <f>+G54</f>
        <v>0</v>
      </c>
      <c r="H9" s="547" t="s">
        <v>762</v>
      </c>
    </row>
    <row r="10" spans="1:21" ht="20.25" customHeight="1">
      <c r="A10" s="547">
        <f>+A9+1</f>
        <v>2</v>
      </c>
      <c r="B10" s="547" t="s">
        <v>727</v>
      </c>
      <c r="D10" s="665"/>
      <c r="E10" s="31">
        <f>+E78</f>
        <v>-3744269</v>
      </c>
      <c r="F10" s="31">
        <f>+F78</f>
        <v>0</v>
      </c>
      <c r="G10" s="31">
        <f>+G78</f>
        <v>0</v>
      </c>
      <c r="H10" s="547" t="s">
        <v>763</v>
      </c>
    </row>
    <row r="11" spans="1:21" ht="20.25" customHeight="1">
      <c r="A11" s="547">
        <f>+A10+1</f>
        <v>3</v>
      </c>
      <c r="B11" s="547" t="s">
        <v>702</v>
      </c>
      <c r="D11" s="665"/>
      <c r="E11" s="31">
        <f>E32</f>
        <v>1901936</v>
      </c>
      <c r="F11" s="31">
        <f>F32</f>
        <v>0</v>
      </c>
      <c r="G11" s="31">
        <f>G32</f>
        <v>0</v>
      </c>
      <c r="H11" s="547" t="s">
        <v>764</v>
      </c>
    </row>
    <row r="12" spans="1:21" ht="20.25" customHeight="1">
      <c r="A12" s="547">
        <f>+A11+1</f>
        <v>4</v>
      </c>
      <c r="B12" s="547" t="s">
        <v>704</v>
      </c>
      <c r="D12" s="665"/>
      <c r="E12" s="31">
        <f>SUM(E9:E11)</f>
        <v>-2126554</v>
      </c>
      <c r="F12" s="31">
        <f>SUM(F9:F11)</f>
        <v>0</v>
      </c>
      <c r="G12" s="31">
        <f>SUM(G9:G11)</f>
        <v>0</v>
      </c>
      <c r="H12" s="675" t="s">
        <v>765</v>
      </c>
    </row>
    <row r="13" spans="1:21">
      <c r="B13" s="547"/>
      <c r="D13" s="675"/>
      <c r="H13" s="31"/>
    </row>
    <row r="14" spans="1:21">
      <c r="B14" s="547"/>
      <c r="H14" s="676"/>
    </row>
    <row r="15" spans="1:21" ht="33" customHeight="1">
      <c r="B15" s="619" t="s">
        <v>766</v>
      </c>
      <c r="C15" s="619"/>
      <c r="D15" s="619"/>
      <c r="E15" s="619"/>
      <c r="F15" s="619"/>
      <c r="G15" s="619"/>
      <c r="H15" s="619"/>
    </row>
    <row r="16" spans="1:21">
      <c r="C16" s="665"/>
      <c r="D16" s="546"/>
      <c r="E16" s="546"/>
      <c r="F16" s="546"/>
      <c r="G16" s="546"/>
    </row>
    <row r="17" spans="1:8">
      <c r="B17" s="546" t="s">
        <v>186</v>
      </c>
      <c r="C17" s="546" t="s">
        <v>188</v>
      </c>
      <c r="D17" s="546" t="s">
        <v>190</v>
      </c>
      <c r="E17" s="546" t="s">
        <v>193</v>
      </c>
      <c r="F17" s="546" t="s">
        <v>196</v>
      </c>
      <c r="G17" s="546" t="s">
        <v>198</v>
      </c>
      <c r="H17" s="546" t="s">
        <v>207</v>
      </c>
    </row>
    <row r="18" spans="1:8" ht="31.5">
      <c r="B18" s="539" t="s">
        <v>702</v>
      </c>
      <c r="C18" s="548" t="s">
        <v>48</v>
      </c>
      <c r="D18" s="548" t="s">
        <v>767</v>
      </c>
      <c r="E18" s="548" t="s">
        <v>389</v>
      </c>
      <c r="F18" s="548" t="s">
        <v>696</v>
      </c>
      <c r="G18" s="548" t="s">
        <v>697</v>
      </c>
      <c r="H18" s="548" t="s">
        <v>768</v>
      </c>
    </row>
    <row r="19" spans="1:8" ht="30" customHeight="1">
      <c r="A19" s="547">
        <f>A12+1</f>
        <v>5</v>
      </c>
      <c r="B19" s="692" t="s">
        <v>769</v>
      </c>
      <c r="C19" s="693">
        <f>+E19</f>
        <v>1901936</v>
      </c>
      <c r="D19" s="694"/>
      <c r="E19" s="694">
        <v>1901936</v>
      </c>
      <c r="F19" s="694"/>
      <c r="G19" s="694"/>
      <c r="H19" s="695"/>
    </row>
    <row r="20" spans="1:8" ht="30" customHeight="1">
      <c r="A20" s="547">
        <f t="shared" ref="A20:A32" si="0">+A19+1</f>
        <v>6</v>
      </c>
      <c r="B20" s="696"/>
      <c r="C20" s="693"/>
      <c r="D20" s="694"/>
      <c r="E20" s="694"/>
      <c r="F20" s="694"/>
      <c r="G20" s="694"/>
      <c r="H20" s="695"/>
    </row>
    <row r="21" spans="1:8" ht="30" customHeight="1">
      <c r="A21" s="547">
        <f t="shared" si="0"/>
        <v>7</v>
      </c>
      <c r="B21" s="696"/>
      <c r="C21" s="693"/>
      <c r="D21" s="694"/>
      <c r="E21" s="694"/>
      <c r="F21" s="694"/>
      <c r="G21" s="694"/>
      <c r="H21" s="695"/>
    </row>
    <row r="22" spans="1:8" ht="30" customHeight="1">
      <c r="A22" s="547">
        <f t="shared" si="0"/>
        <v>8</v>
      </c>
      <c r="B22" s="696"/>
      <c r="C22" s="693"/>
      <c r="D22" s="694"/>
      <c r="E22" s="694"/>
      <c r="F22" s="694"/>
      <c r="G22" s="694"/>
      <c r="H22" s="695"/>
    </row>
    <row r="23" spans="1:8" ht="30" customHeight="1">
      <c r="A23" s="547">
        <f t="shared" si="0"/>
        <v>9</v>
      </c>
      <c r="B23" s="696"/>
      <c r="C23" s="693"/>
      <c r="D23" s="694"/>
      <c r="E23" s="694"/>
      <c r="F23" s="694"/>
      <c r="G23" s="694"/>
      <c r="H23" s="695"/>
    </row>
    <row r="24" spans="1:8" ht="30" customHeight="1">
      <c r="A24" s="547">
        <f t="shared" si="0"/>
        <v>10</v>
      </c>
      <c r="B24" s="696"/>
      <c r="C24" s="693"/>
      <c r="D24" s="694"/>
      <c r="E24" s="694"/>
      <c r="F24" s="694"/>
      <c r="G24" s="694"/>
      <c r="H24" s="695"/>
    </row>
    <row r="25" spans="1:8" ht="30" customHeight="1">
      <c r="A25" s="547">
        <f t="shared" si="0"/>
        <v>11</v>
      </c>
      <c r="B25" s="696"/>
      <c r="C25" s="693"/>
      <c r="D25" s="694"/>
      <c r="E25" s="694"/>
      <c r="F25" s="694"/>
      <c r="G25" s="694"/>
      <c r="H25" s="695"/>
    </row>
    <row r="26" spans="1:8" ht="30" customHeight="1">
      <c r="A26" s="547">
        <f t="shared" si="0"/>
        <v>12</v>
      </c>
      <c r="B26" s="696"/>
      <c r="C26" s="693"/>
      <c r="D26" s="697"/>
      <c r="E26" s="694"/>
      <c r="F26" s="694"/>
      <c r="G26" s="694"/>
      <c r="H26" s="695"/>
    </row>
    <row r="27" spans="1:8" ht="30" customHeight="1">
      <c r="A27" s="547">
        <f t="shared" si="0"/>
        <v>13</v>
      </c>
      <c r="B27" s="696"/>
      <c r="C27" s="693"/>
      <c r="D27" s="694"/>
      <c r="E27" s="694"/>
      <c r="F27" s="694"/>
      <c r="G27" s="694"/>
      <c r="H27" s="695"/>
    </row>
    <row r="28" spans="1:8" ht="30" customHeight="1">
      <c r="A28" s="547">
        <f t="shared" si="0"/>
        <v>14</v>
      </c>
      <c r="B28" s="698" t="s">
        <v>48</v>
      </c>
      <c r="C28" s="699"/>
      <c r="D28" s="699"/>
      <c r="E28" s="699"/>
      <c r="F28" s="699"/>
      <c r="G28" s="699"/>
      <c r="H28" s="700" t="s">
        <v>770</v>
      </c>
    </row>
    <row r="29" spans="1:8" ht="20.25" customHeight="1">
      <c r="A29" s="547">
        <f t="shared" si="0"/>
        <v>15</v>
      </c>
      <c r="B29" s="701" t="s">
        <v>771</v>
      </c>
      <c r="C29" s="702">
        <f>SUBTOTAL(9,C19:C28)</f>
        <v>1901936</v>
      </c>
      <c r="D29" s="599">
        <f>SUM(D19:D28)</f>
        <v>0</v>
      </c>
      <c r="E29" s="599">
        <f>SUM(E19:E28)</f>
        <v>1901936</v>
      </c>
      <c r="F29" s="599">
        <f>SUM(F19:F28)</f>
        <v>0</v>
      </c>
      <c r="G29" s="599">
        <f>SUM(G19:G28)</f>
        <v>0</v>
      </c>
      <c r="H29" s="703"/>
    </row>
    <row r="30" spans="1:8" ht="20.25" customHeight="1">
      <c r="A30" s="547">
        <f t="shared" si="0"/>
        <v>16</v>
      </c>
      <c r="B30" s="704" t="s">
        <v>772</v>
      </c>
      <c r="C30" s="705"/>
      <c r="D30" s="705"/>
      <c r="E30" s="705"/>
      <c r="F30" s="706"/>
      <c r="G30" s="707"/>
      <c r="H30" s="695"/>
    </row>
    <row r="31" spans="1:8" ht="20.25" customHeight="1">
      <c r="A31" s="547">
        <f t="shared" si="0"/>
        <v>17</v>
      </c>
      <c r="B31" s="708" t="s">
        <v>773</v>
      </c>
      <c r="C31" s="709"/>
      <c r="D31" s="709"/>
      <c r="E31" s="709"/>
      <c r="F31" s="709"/>
      <c r="G31" s="709"/>
      <c r="H31" s="710"/>
    </row>
    <row r="32" spans="1:8" ht="20.25" customHeight="1" thickBot="1">
      <c r="A32" s="547">
        <f t="shared" si="0"/>
        <v>18</v>
      </c>
      <c r="B32" s="711" t="s">
        <v>48</v>
      </c>
      <c r="C32" s="712">
        <f>+C29-C30-C31</f>
        <v>1901936</v>
      </c>
      <c r="D32" s="712">
        <f>+D29-D30-D31</f>
        <v>0</v>
      </c>
      <c r="E32" s="712">
        <f>+E29-E30-E31</f>
        <v>1901936</v>
      </c>
      <c r="F32" s="712">
        <f>+F29-F30-F31</f>
        <v>0</v>
      </c>
      <c r="G32" s="712">
        <f>+G29-G30-G31</f>
        <v>0</v>
      </c>
      <c r="H32" s="713"/>
    </row>
    <row r="33" spans="1:8" ht="20.25" customHeight="1" thickTop="1">
      <c r="B33" s="547" t="s">
        <v>774</v>
      </c>
      <c r="C33" s="675"/>
      <c r="D33" s="714"/>
      <c r="E33" s="546"/>
      <c r="G33" s="715"/>
    </row>
    <row r="34" spans="1:8" ht="20.25" customHeight="1">
      <c r="B34" s="716" t="s">
        <v>775</v>
      </c>
      <c r="C34" s="716"/>
      <c r="D34" s="716"/>
      <c r="E34" s="716"/>
      <c r="F34" s="716"/>
      <c r="G34" s="716"/>
    </row>
    <row r="35" spans="1:8" ht="20.25" customHeight="1">
      <c r="B35" s="539" t="s">
        <v>776</v>
      </c>
      <c r="F35" s="546"/>
      <c r="G35" s="546"/>
    </row>
    <row r="36" spans="1:8" ht="20.25" customHeight="1">
      <c r="B36" s="539" t="s">
        <v>777</v>
      </c>
      <c r="F36" s="546"/>
      <c r="G36" s="546"/>
    </row>
    <row r="37" spans="1:8" ht="20.25" customHeight="1">
      <c r="B37" s="539" t="s">
        <v>778</v>
      </c>
      <c r="F37" s="546"/>
      <c r="G37" s="546"/>
    </row>
    <row r="38" spans="1:8" ht="35.25" customHeight="1">
      <c r="B38" s="716" t="s">
        <v>779</v>
      </c>
      <c r="C38" s="716"/>
      <c r="D38" s="716"/>
      <c r="E38" s="716"/>
      <c r="F38" s="716"/>
      <c r="G38" s="716"/>
      <c r="H38" s="717"/>
    </row>
    <row r="39" spans="1:8">
      <c r="B39" s="717"/>
      <c r="C39" s="717"/>
      <c r="D39" s="717"/>
      <c r="E39" s="717"/>
      <c r="F39" s="717"/>
      <c r="G39" s="717"/>
      <c r="H39" s="717"/>
    </row>
    <row r="40" spans="1:8">
      <c r="B40" s="547"/>
    </row>
    <row r="41" spans="1:8">
      <c r="B41" s="546" t="s">
        <v>186</v>
      </c>
      <c r="C41" s="546" t="s">
        <v>188</v>
      </c>
      <c r="D41" s="546" t="s">
        <v>190</v>
      </c>
      <c r="E41" s="546" t="s">
        <v>193</v>
      </c>
      <c r="F41" s="546" t="s">
        <v>196</v>
      </c>
      <c r="G41" s="546" t="s">
        <v>198</v>
      </c>
      <c r="H41" s="546" t="s">
        <v>207</v>
      </c>
    </row>
    <row r="42" spans="1:8" ht="31.5">
      <c r="B42" s="547" t="s">
        <v>780</v>
      </c>
      <c r="C42" s="548" t="s">
        <v>48</v>
      </c>
      <c r="D42" s="548" t="s">
        <v>767</v>
      </c>
      <c r="E42" s="548" t="s">
        <v>389</v>
      </c>
      <c r="F42" s="548" t="s">
        <v>696</v>
      </c>
      <c r="G42" s="548" t="s">
        <v>697</v>
      </c>
      <c r="H42" s="548" t="s">
        <v>768</v>
      </c>
    </row>
    <row r="43" spans="1:8" ht="30" customHeight="1">
      <c r="A43" s="547">
        <f>A32+1</f>
        <v>19</v>
      </c>
      <c r="B43" s="696" t="s">
        <v>781</v>
      </c>
      <c r="C43" s="693">
        <f>+E43</f>
        <v>-873082</v>
      </c>
      <c r="D43" s="694"/>
      <c r="E43" s="694">
        <f>-1157303+284221</f>
        <v>-873082</v>
      </c>
      <c r="F43" s="694"/>
      <c r="G43" s="694"/>
      <c r="H43" s="695"/>
    </row>
    <row r="44" spans="1:8" ht="30" customHeight="1">
      <c r="A44" s="547">
        <f t="shared" ref="A44:A54" si="1">+A43+1</f>
        <v>20</v>
      </c>
      <c r="B44" s="696"/>
      <c r="C44" s="693"/>
      <c r="D44" s="694"/>
      <c r="E44" s="694"/>
      <c r="F44" s="694"/>
      <c r="G44" s="694"/>
      <c r="H44" s="695"/>
    </row>
    <row r="45" spans="1:8" ht="30" customHeight="1">
      <c r="A45" s="547">
        <f t="shared" si="1"/>
        <v>21</v>
      </c>
      <c r="B45" s="696"/>
      <c r="C45" s="693"/>
      <c r="D45" s="694"/>
      <c r="E45" s="694"/>
      <c r="F45" s="694"/>
      <c r="G45" s="694"/>
      <c r="H45" s="695"/>
    </row>
    <row r="46" spans="1:8" ht="30" customHeight="1">
      <c r="A46" s="547">
        <f t="shared" si="1"/>
        <v>22</v>
      </c>
      <c r="B46" s="696"/>
      <c r="C46" s="694"/>
      <c r="D46" s="694"/>
      <c r="E46" s="694"/>
      <c r="F46" s="694"/>
      <c r="G46" s="694"/>
      <c r="H46" s="695"/>
    </row>
    <row r="47" spans="1:8" ht="30" customHeight="1">
      <c r="A47" s="547">
        <f t="shared" si="1"/>
        <v>23</v>
      </c>
      <c r="B47" s="696"/>
      <c r="C47" s="694"/>
      <c r="D47" s="694"/>
      <c r="E47" s="694"/>
      <c r="F47" s="694"/>
      <c r="G47" s="694"/>
      <c r="H47" s="695"/>
    </row>
    <row r="48" spans="1:8" ht="30" customHeight="1">
      <c r="A48" s="547">
        <f t="shared" si="1"/>
        <v>24</v>
      </c>
      <c r="B48" s="718"/>
      <c r="C48" s="719"/>
      <c r="D48" s="719"/>
      <c r="E48" s="719"/>
      <c r="F48" s="719"/>
      <c r="G48" s="719"/>
      <c r="H48" s="695"/>
    </row>
    <row r="49" spans="1:8" ht="30" customHeight="1">
      <c r="A49" s="547">
        <f t="shared" si="1"/>
        <v>25</v>
      </c>
      <c r="B49" s="720"/>
      <c r="C49" s="719"/>
      <c r="D49" s="719"/>
      <c r="E49" s="719"/>
      <c r="F49" s="719"/>
      <c r="G49" s="719"/>
      <c r="H49" s="695"/>
    </row>
    <row r="50" spans="1:8" ht="30" customHeight="1">
      <c r="A50" s="547">
        <f t="shared" si="1"/>
        <v>26</v>
      </c>
      <c r="B50" s="698" t="s">
        <v>48</v>
      </c>
      <c r="C50" s="721">
        <f>+E50</f>
        <v>-284221</v>
      </c>
      <c r="D50" s="721"/>
      <c r="E50" s="721">
        <v>-284221</v>
      </c>
      <c r="F50" s="721"/>
      <c r="G50" s="721"/>
      <c r="H50" s="700" t="s">
        <v>770</v>
      </c>
    </row>
    <row r="51" spans="1:8" ht="20.25" customHeight="1">
      <c r="A51" s="547">
        <f t="shared" si="1"/>
        <v>27</v>
      </c>
      <c r="B51" s="722" t="s">
        <v>782</v>
      </c>
      <c r="C51" s="599">
        <f>SUBTOTAL(9,C43:C50)</f>
        <v>-1157303</v>
      </c>
      <c r="D51" s="599">
        <f>SUM(D43:D50)</f>
        <v>0</v>
      </c>
      <c r="E51" s="599">
        <f>SUM(E43:E50)</f>
        <v>-1157303</v>
      </c>
      <c r="F51" s="599">
        <f>SUM(F43:F50)</f>
        <v>0</v>
      </c>
      <c r="G51" s="599">
        <f>SUM(G43:G50)</f>
        <v>0</v>
      </c>
      <c r="H51" s="703"/>
    </row>
    <row r="52" spans="1:8" ht="20.25" customHeight="1">
      <c r="A52" s="547">
        <f t="shared" si="1"/>
        <v>28</v>
      </c>
      <c r="B52" s="722" t="s">
        <v>772</v>
      </c>
      <c r="C52" s="705">
        <f>+E52</f>
        <v>-873082</v>
      </c>
      <c r="D52" s="705"/>
      <c r="E52" s="705">
        <v>-873082</v>
      </c>
      <c r="F52" s="705"/>
      <c r="G52" s="705"/>
      <c r="H52" s="695"/>
    </row>
    <row r="53" spans="1:8" ht="20.25" customHeight="1">
      <c r="A53" s="547">
        <f t="shared" si="1"/>
        <v>29</v>
      </c>
      <c r="B53" s="723" t="s">
        <v>773</v>
      </c>
      <c r="C53" s="709"/>
      <c r="D53" s="709"/>
      <c r="E53" s="709"/>
      <c r="F53" s="709"/>
      <c r="G53" s="709"/>
      <c r="H53" s="710"/>
    </row>
    <row r="54" spans="1:8" ht="20.25" customHeight="1" thickBot="1">
      <c r="A54" s="547">
        <f t="shared" si="1"/>
        <v>30</v>
      </c>
      <c r="B54" s="711" t="s">
        <v>48</v>
      </c>
      <c r="C54" s="712">
        <f>+C51-C52-C53</f>
        <v>-284221</v>
      </c>
      <c r="D54" s="712">
        <f>+D51-D52-D53</f>
        <v>0</v>
      </c>
      <c r="E54" s="712">
        <f>+E51-E52-E53</f>
        <v>-284221</v>
      </c>
      <c r="F54" s="712">
        <f>+F51-F52-F53</f>
        <v>0</v>
      </c>
      <c r="G54" s="712">
        <f>+G51-G52-G53</f>
        <v>0</v>
      </c>
      <c r="H54" s="713"/>
    </row>
    <row r="55" spans="1:8" ht="20.25" customHeight="1" thickTop="1">
      <c r="B55" s="547" t="s">
        <v>783</v>
      </c>
      <c r="D55" s="546"/>
      <c r="E55" s="714"/>
      <c r="G55" s="717"/>
    </row>
    <row r="56" spans="1:8" ht="20.25" customHeight="1">
      <c r="B56" s="716" t="s">
        <v>775</v>
      </c>
      <c r="C56" s="716"/>
      <c r="D56" s="716"/>
      <c r="E56" s="716"/>
      <c r="F56" s="716"/>
      <c r="G56" s="716"/>
    </row>
    <row r="57" spans="1:8" ht="20.25" customHeight="1">
      <c r="B57" s="539" t="s">
        <v>776</v>
      </c>
      <c r="F57" s="546"/>
      <c r="G57" s="546"/>
    </row>
    <row r="58" spans="1:8" ht="20.25" customHeight="1">
      <c r="B58" s="539" t="s">
        <v>777</v>
      </c>
      <c r="F58" s="546"/>
      <c r="G58" s="546"/>
    </row>
    <row r="59" spans="1:8" ht="20.25" customHeight="1">
      <c r="B59" s="539" t="s">
        <v>778</v>
      </c>
      <c r="F59" s="546"/>
      <c r="G59" s="546"/>
    </row>
    <row r="60" spans="1:8" ht="35.25" customHeight="1">
      <c r="B60" s="716" t="s">
        <v>779</v>
      </c>
      <c r="C60" s="716"/>
      <c r="D60" s="716"/>
      <c r="E60" s="716"/>
      <c r="F60" s="716"/>
      <c r="G60" s="716"/>
      <c r="H60" s="717"/>
    </row>
    <row r="61" spans="1:8">
      <c r="H61" s="717"/>
    </row>
    <row r="62" spans="1:8">
      <c r="H62" s="717"/>
    </row>
    <row r="63" spans="1:8">
      <c r="B63" s="546" t="s">
        <v>186</v>
      </c>
      <c r="C63" s="546" t="s">
        <v>188</v>
      </c>
      <c r="D63" s="546" t="s">
        <v>190</v>
      </c>
      <c r="E63" s="546" t="s">
        <v>193</v>
      </c>
      <c r="F63" s="546" t="s">
        <v>196</v>
      </c>
      <c r="G63" s="546" t="s">
        <v>198</v>
      </c>
      <c r="H63" s="546" t="s">
        <v>207</v>
      </c>
    </row>
    <row r="64" spans="1:8" ht="31.5">
      <c r="B64" s="547" t="s">
        <v>784</v>
      </c>
      <c r="C64" s="548" t="s">
        <v>48</v>
      </c>
      <c r="D64" s="548" t="s">
        <v>767</v>
      </c>
      <c r="E64" s="548" t="s">
        <v>389</v>
      </c>
      <c r="F64" s="548" t="s">
        <v>696</v>
      </c>
      <c r="G64" s="548" t="s">
        <v>697</v>
      </c>
      <c r="H64" s="548" t="s">
        <v>768</v>
      </c>
    </row>
    <row r="65" spans="1:10" ht="30" customHeight="1">
      <c r="A65" s="547">
        <f>A54+1</f>
        <v>31</v>
      </c>
      <c r="B65" s="724"/>
      <c r="C65" s="693">
        <f>+E65</f>
        <v>-4106967</v>
      </c>
      <c r="D65" s="694"/>
      <c r="E65" s="694">
        <v>-4106967</v>
      </c>
      <c r="F65" s="694"/>
      <c r="G65" s="694"/>
      <c r="H65" s="695"/>
    </row>
    <row r="66" spans="1:10" ht="30" customHeight="1">
      <c r="A66" s="547">
        <f t="shared" ref="A66:A78" si="2">+A65+1</f>
        <v>32</v>
      </c>
      <c r="B66" s="696"/>
      <c r="C66" s="693"/>
      <c r="D66" s="694"/>
      <c r="E66" s="694"/>
      <c r="F66" s="694"/>
      <c r="G66" s="694"/>
      <c r="H66" s="695"/>
      <c r="J66" s="725"/>
    </row>
    <row r="67" spans="1:10" ht="30" customHeight="1">
      <c r="A67" s="547">
        <f t="shared" si="2"/>
        <v>33</v>
      </c>
      <c r="B67" s="696"/>
      <c r="C67" s="693"/>
      <c r="D67" s="694"/>
      <c r="E67" s="694"/>
      <c r="F67" s="694"/>
      <c r="G67" s="694"/>
      <c r="H67" s="695"/>
    </row>
    <row r="68" spans="1:10" ht="30" customHeight="1">
      <c r="A68" s="547">
        <f t="shared" si="2"/>
        <v>34</v>
      </c>
      <c r="B68" s="696"/>
      <c r="C68" s="693"/>
      <c r="D68" s="694"/>
      <c r="E68" s="694"/>
      <c r="F68" s="694"/>
      <c r="G68" s="694"/>
      <c r="H68" s="695"/>
    </row>
    <row r="69" spans="1:10" ht="30" customHeight="1">
      <c r="A69" s="547">
        <f t="shared" si="2"/>
        <v>35</v>
      </c>
      <c r="B69" s="696"/>
      <c r="C69" s="694"/>
      <c r="D69" s="719"/>
      <c r="E69" s="694"/>
      <c r="F69" s="694"/>
      <c r="G69" s="694"/>
      <c r="H69" s="695"/>
    </row>
    <row r="70" spans="1:10" ht="30" customHeight="1">
      <c r="A70" s="547">
        <f t="shared" si="2"/>
        <v>36</v>
      </c>
      <c r="B70" s="696"/>
      <c r="C70" s="694"/>
      <c r="D70" s="719"/>
      <c r="E70" s="694"/>
      <c r="F70" s="694"/>
      <c r="G70" s="694"/>
      <c r="H70" s="695"/>
    </row>
    <row r="71" spans="1:10" ht="30" customHeight="1">
      <c r="A71" s="547">
        <f t="shared" si="2"/>
        <v>37</v>
      </c>
      <c r="B71" s="696"/>
      <c r="C71" s="694"/>
      <c r="D71" s="719"/>
      <c r="E71" s="694"/>
      <c r="F71" s="694"/>
      <c r="G71" s="694"/>
      <c r="H71" s="695"/>
    </row>
    <row r="72" spans="1:10" ht="30" customHeight="1">
      <c r="A72" s="547">
        <f t="shared" si="2"/>
        <v>38</v>
      </c>
      <c r="B72" s="696"/>
      <c r="C72" s="694"/>
      <c r="D72" s="697"/>
      <c r="E72" s="694"/>
      <c r="F72" s="694"/>
      <c r="G72" s="694"/>
      <c r="H72" s="695"/>
    </row>
    <row r="73" spans="1:10" ht="30" customHeight="1">
      <c r="A73" s="547">
        <f t="shared" si="2"/>
        <v>39</v>
      </c>
      <c r="B73" s="696"/>
      <c r="C73" s="694"/>
      <c r="D73" s="694"/>
      <c r="E73" s="694"/>
      <c r="F73" s="694"/>
      <c r="G73" s="694"/>
      <c r="H73" s="695"/>
    </row>
    <row r="74" spans="1:10" ht="30" customHeight="1">
      <c r="A74" s="547">
        <f t="shared" si="2"/>
        <v>40</v>
      </c>
      <c r="B74" s="698" t="s">
        <v>48</v>
      </c>
      <c r="C74" s="721"/>
      <c r="D74" s="721"/>
      <c r="E74" s="721"/>
      <c r="F74" s="721"/>
      <c r="G74" s="721"/>
      <c r="H74" s="700" t="s">
        <v>770</v>
      </c>
    </row>
    <row r="75" spans="1:10" ht="20.25" customHeight="1">
      <c r="A75" s="547">
        <f t="shared" si="2"/>
        <v>41</v>
      </c>
      <c r="B75" s="701" t="s">
        <v>785</v>
      </c>
      <c r="C75" s="702">
        <f>SUBTOTAL(9,C65:C74)</f>
        <v>-4106967</v>
      </c>
      <c r="D75" s="702">
        <f>SUM(D65:D74)</f>
        <v>0</v>
      </c>
      <c r="E75" s="702">
        <f>SUM(E65:E74)</f>
        <v>-4106967</v>
      </c>
      <c r="F75" s="702">
        <f>SUM(F65:F74)</f>
        <v>0</v>
      </c>
      <c r="G75" s="702">
        <f>SUM(G65:G74)</f>
        <v>0</v>
      </c>
      <c r="H75" s="695"/>
    </row>
    <row r="76" spans="1:10" ht="20.25" customHeight="1">
      <c r="A76" s="547">
        <f t="shared" si="2"/>
        <v>42</v>
      </c>
      <c r="B76" s="701" t="s">
        <v>772</v>
      </c>
      <c r="C76" s="706">
        <f>+E76</f>
        <v>-362698</v>
      </c>
      <c r="D76" s="706"/>
      <c r="E76" s="706">
        <f>-4106967+3744269</f>
        <v>-362698</v>
      </c>
      <c r="F76" s="706"/>
      <c r="G76" s="706"/>
      <c r="H76" s="695"/>
    </row>
    <row r="77" spans="1:10" ht="20.25" customHeight="1">
      <c r="A77" s="547">
        <f t="shared" si="2"/>
        <v>43</v>
      </c>
      <c r="B77" s="726" t="s">
        <v>773</v>
      </c>
      <c r="C77" s="727"/>
      <c r="D77" s="727"/>
      <c r="E77" s="727"/>
      <c r="F77" s="727"/>
      <c r="G77" s="727"/>
      <c r="H77" s="710"/>
    </row>
    <row r="78" spans="1:10" ht="20.25" customHeight="1" thickBot="1">
      <c r="A78" s="547">
        <f t="shared" si="2"/>
        <v>44</v>
      </c>
      <c r="B78" s="711" t="s">
        <v>48</v>
      </c>
      <c r="C78" s="728">
        <f>+C75-C76-C77</f>
        <v>-3744269</v>
      </c>
      <c r="D78" s="728">
        <f>+D75-D76-D77</f>
        <v>0</v>
      </c>
      <c r="E78" s="728">
        <f>+E75-E76-E77</f>
        <v>-3744269</v>
      </c>
      <c r="F78" s="728">
        <f>+F75-F76-F77</f>
        <v>0</v>
      </c>
      <c r="G78" s="728">
        <f>+G75-G76-G77</f>
        <v>0</v>
      </c>
      <c r="H78" s="713"/>
    </row>
    <row r="79" spans="1:10" ht="20.25" customHeight="1" thickTop="1">
      <c r="B79" s="547" t="s">
        <v>786</v>
      </c>
      <c r="E79" s="546"/>
      <c r="F79" s="546"/>
      <c r="H79" s="729"/>
    </row>
    <row r="80" spans="1:10" ht="20.25" customHeight="1">
      <c r="B80" s="716" t="s">
        <v>775</v>
      </c>
      <c r="C80" s="716"/>
      <c r="D80" s="716"/>
      <c r="E80" s="716"/>
      <c r="F80" s="716"/>
      <c r="G80" s="716"/>
    </row>
    <row r="81" spans="2:9" ht="20.25" customHeight="1">
      <c r="B81" s="539" t="s">
        <v>776</v>
      </c>
      <c r="F81" s="546"/>
      <c r="G81" s="546"/>
    </row>
    <row r="82" spans="2:9" ht="20.25" customHeight="1">
      <c r="B82" s="539" t="s">
        <v>777</v>
      </c>
      <c r="F82" s="546"/>
      <c r="G82" s="546"/>
    </row>
    <row r="83" spans="2:9" ht="20.25" customHeight="1">
      <c r="B83" s="539" t="s">
        <v>778</v>
      </c>
      <c r="F83" s="546"/>
      <c r="G83" s="546"/>
    </row>
    <row r="84" spans="2:9" ht="35.25" customHeight="1">
      <c r="B84" s="716" t="s">
        <v>779</v>
      </c>
      <c r="C84" s="716"/>
      <c r="D84" s="716"/>
      <c r="E84" s="716"/>
      <c r="F84" s="716"/>
      <c r="G84" s="716"/>
    </row>
    <row r="86" spans="2:9" ht="15.75" customHeight="1">
      <c r="B86" s="730"/>
      <c r="C86" s="730"/>
      <c r="D86" s="730"/>
      <c r="E86" s="730"/>
      <c r="F86" s="730"/>
      <c r="G86" s="730"/>
      <c r="H86" s="730"/>
    </row>
    <row r="87" spans="2:9">
      <c r="B87" s="542"/>
      <c r="C87" s="542"/>
      <c r="D87" s="542"/>
      <c r="E87" s="542"/>
      <c r="F87" s="542"/>
      <c r="G87" s="542"/>
      <c r="H87" s="542"/>
    </row>
    <row r="88" spans="2:9">
      <c r="B88" s="547"/>
    </row>
    <row r="89" spans="2:9">
      <c r="B89" s="547"/>
    </row>
    <row r="90" spans="2:9" ht="15.75" customHeight="1">
      <c r="B90" s="547"/>
    </row>
    <row r="91" spans="2:9">
      <c r="B91" s="547"/>
      <c r="D91" s="689"/>
      <c r="E91" s="689"/>
      <c r="F91" s="689"/>
      <c r="G91" s="689"/>
      <c r="H91" s="689"/>
      <c r="I91" s="690"/>
    </row>
    <row r="92" spans="2:9">
      <c r="B92" s="547"/>
      <c r="D92" s="689"/>
      <c r="E92" s="689"/>
      <c r="F92" s="689"/>
      <c r="G92" s="689"/>
      <c r="H92" s="689"/>
      <c r="I92" s="690"/>
    </row>
    <row r="93" spans="2:9">
      <c r="D93" s="546"/>
      <c r="E93" s="546"/>
    </row>
    <row r="94" spans="2:9">
      <c r="D94" s="444"/>
      <c r="E94" s="444"/>
    </row>
    <row r="95" spans="2:9">
      <c r="D95" s="444"/>
      <c r="E95" s="444"/>
    </row>
    <row r="96" spans="2:9">
      <c r="D96" s="444"/>
      <c r="E96" s="444"/>
    </row>
    <row r="97" spans="2:5">
      <c r="D97" s="444"/>
      <c r="E97" s="444"/>
    </row>
    <row r="98" spans="2:5">
      <c r="D98" s="444"/>
      <c r="E98" s="444"/>
    </row>
    <row r="99" spans="2:5">
      <c r="D99" s="444"/>
      <c r="E99" s="444"/>
    </row>
    <row r="100" spans="2:5">
      <c r="D100" s="444"/>
      <c r="E100" s="444"/>
    </row>
    <row r="101" spans="2:5">
      <c r="D101" s="444"/>
      <c r="E101" s="444"/>
    </row>
    <row r="102" spans="2:5">
      <c r="D102" s="444"/>
      <c r="E102" s="444"/>
    </row>
    <row r="103" spans="2:5">
      <c r="D103" s="444"/>
      <c r="E103" s="444"/>
    </row>
    <row r="104" spans="2:5">
      <c r="B104" s="547"/>
      <c r="D104" s="444"/>
      <c r="E104" s="444"/>
    </row>
    <row r="105" spans="2:5">
      <c r="D105" s="444"/>
      <c r="E105" s="444"/>
    </row>
    <row r="106" spans="2:5">
      <c r="B106" s="547"/>
      <c r="D106" s="444"/>
      <c r="E106" s="444"/>
    </row>
    <row r="210" spans="9:9">
      <c r="I210" s="684"/>
    </row>
  </sheetData>
  <mergeCells count="11">
    <mergeCell ref="B56:G56"/>
    <mergeCell ref="B60:G60"/>
    <mergeCell ref="B80:G80"/>
    <mergeCell ref="B84:G84"/>
    <mergeCell ref="B87:H87"/>
    <mergeCell ref="B1:H1"/>
    <mergeCell ref="B2:H2"/>
    <mergeCell ref="B3:H3"/>
    <mergeCell ref="B15:H15"/>
    <mergeCell ref="B34:G34"/>
    <mergeCell ref="B38:G38"/>
  </mergeCells>
  <printOptions horizontalCentered="1"/>
  <pageMargins left="0.5" right="0.5" top="0.5" bottom="0.5" header="0.3" footer="0.3"/>
  <pageSetup scale="48" fitToHeight="0" orientation="landscape" r:id="rId1"/>
  <headerFooter alignWithMargins="0"/>
  <rowBreaks count="2" manualBreakCount="2">
    <brk id="40" max="16383" man="1"/>
    <brk id="8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8BC87-AC71-46E0-8774-4C8C25784EB9}">
  <sheetPr>
    <pageSetUpPr fitToPage="1"/>
  </sheetPr>
  <dimension ref="A1:U210"/>
  <sheetViews>
    <sheetView view="pageBreakPreview" zoomScale="70" zoomScaleNormal="50" zoomScaleSheetLayoutView="70" workbookViewId="0">
      <selection activeCell="G16" sqref="G16"/>
    </sheetView>
  </sheetViews>
  <sheetFormatPr defaultColWidth="8.77734375" defaultRowHeight="15.75"/>
  <cols>
    <col min="1" max="1" width="5" style="547" customWidth="1"/>
    <col min="2" max="2" width="49.21875" style="539" customWidth="1"/>
    <col min="3" max="3" width="22" style="547" customWidth="1"/>
    <col min="4" max="4" width="15" style="547" customWidth="1"/>
    <col min="5" max="5" width="12.5546875" style="547" customWidth="1"/>
    <col min="6" max="6" width="11.5546875" style="547" customWidth="1"/>
    <col min="7" max="7" width="14.77734375" style="547" customWidth="1"/>
    <col min="8" max="8" width="79.44140625" style="547" customWidth="1"/>
    <col min="9" max="16384" width="8.77734375" style="665"/>
  </cols>
  <sheetData>
    <row r="1" spans="1:21" ht="18">
      <c r="B1" s="542" t="s">
        <v>787</v>
      </c>
      <c r="C1" s="542"/>
      <c r="D1" s="542"/>
      <c r="E1" s="542"/>
      <c r="F1" s="542"/>
      <c r="G1" s="542"/>
      <c r="H1" s="542"/>
      <c r="I1" s="668"/>
      <c r="J1" s="668"/>
    </row>
    <row r="2" spans="1:21" ht="18">
      <c r="B2" s="542" t="str">
        <f>'6e-ADIT True-up'!A3:A3</f>
        <v>For the 12 months ended 12/31/2020</v>
      </c>
      <c r="C2" s="542"/>
      <c r="D2" s="542"/>
      <c r="E2" s="542"/>
      <c r="F2" s="542"/>
      <c r="G2" s="542"/>
      <c r="H2" s="542"/>
      <c r="I2" s="668"/>
      <c r="J2" s="668"/>
    </row>
    <row r="3" spans="1:21" ht="8.25" customHeight="1">
      <c r="B3" s="542"/>
      <c r="C3" s="542"/>
      <c r="D3" s="542"/>
      <c r="E3" s="542"/>
      <c r="F3" s="542"/>
      <c r="G3" s="542"/>
      <c r="H3" s="666"/>
      <c r="I3" s="668"/>
      <c r="J3" s="668"/>
    </row>
    <row r="4" spans="1:21" ht="8.25" customHeight="1">
      <c r="I4" s="668"/>
      <c r="J4" s="668"/>
    </row>
    <row r="5" spans="1:21" ht="8.25" customHeight="1">
      <c r="D5" s="546"/>
      <c r="E5" s="546"/>
      <c r="G5" s="546"/>
    </row>
    <row r="6" spans="1:21" ht="8.25" customHeight="1">
      <c r="D6" s="546"/>
      <c r="E6" s="546"/>
      <c r="F6" s="546"/>
      <c r="G6" s="546"/>
      <c r="U6" s="667"/>
    </row>
    <row r="7" spans="1:21" ht="34.5" customHeight="1">
      <c r="A7" s="669" t="s">
        <v>694</v>
      </c>
      <c r="B7" s="669" t="s">
        <v>695</v>
      </c>
      <c r="C7" s="670"/>
      <c r="D7" s="671"/>
      <c r="E7" s="731" t="s">
        <v>389</v>
      </c>
      <c r="F7" s="672" t="s">
        <v>696</v>
      </c>
      <c r="G7" s="672" t="s">
        <v>697</v>
      </c>
      <c r="H7" s="670"/>
      <c r="U7" s="667"/>
    </row>
    <row r="8" spans="1:21">
      <c r="A8" s="673"/>
      <c r="L8" s="732"/>
    </row>
    <row r="9" spans="1:21" ht="20.25" customHeight="1">
      <c r="A9" s="673">
        <v>1</v>
      </c>
      <c r="B9" s="547" t="s">
        <v>780</v>
      </c>
      <c r="E9" s="165">
        <f>+E54</f>
        <v>-599728</v>
      </c>
      <c r="F9" s="165">
        <f>+F54</f>
        <v>0</v>
      </c>
      <c r="G9" s="165">
        <f>+G54</f>
        <v>0</v>
      </c>
      <c r="H9" s="547" t="s">
        <v>762</v>
      </c>
    </row>
    <row r="10" spans="1:21" ht="20.25" customHeight="1">
      <c r="A10" s="673">
        <f>+A9+1</f>
        <v>2</v>
      </c>
      <c r="B10" s="547" t="s">
        <v>727</v>
      </c>
      <c r="E10" s="165">
        <f>+E78</f>
        <v>-4598618</v>
      </c>
      <c r="F10" s="165">
        <f>+F78</f>
        <v>0</v>
      </c>
      <c r="G10" s="165">
        <f>+G78</f>
        <v>0</v>
      </c>
      <c r="H10" s="547" t="s">
        <v>763</v>
      </c>
    </row>
    <row r="11" spans="1:21" ht="20.25" customHeight="1">
      <c r="A11" s="673">
        <f>+A10+1</f>
        <v>3</v>
      </c>
      <c r="B11" s="547" t="s">
        <v>702</v>
      </c>
      <c r="E11" s="165">
        <f>E32</f>
        <v>0</v>
      </c>
      <c r="F11" s="165">
        <f>F32</f>
        <v>0</v>
      </c>
      <c r="G11" s="165">
        <f>G32</f>
        <v>0</v>
      </c>
      <c r="H11" s="547" t="s">
        <v>764</v>
      </c>
    </row>
    <row r="12" spans="1:21" ht="20.25" customHeight="1">
      <c r="A12" s="673">
        <f>+A11+1</f>
        <v>4</v>
      </c>
      <c r="B12" s="547" t="s">
        <v>704</v>
      </c>
      <c r="E12" s="165">
        <f>SUM(E9:E11)</f>
        <v>-5198346</v>
      </c>
      <c r="F12" s="165">
        <f>SUM(F9:F11)</f>
        <v>0</v>
      </c>
      <c r="G12" s="165">
        <f>SUM(G9:G11)</f>
        <v>0</v>
      </c>
      <c r="H12" s="675" t="s">
        <v>765</v>
      </c>
    </row>
    <row r="13" spans="1:21">
      <c r="A13" s="673"/>
      <c r="B13" s="547"/>
      <c r="D13" s="675"/>
      <c r="H13" s="31"/>
    </row>
    <row r="14" spans="1:21">
      <c r="A14" s="673"/>
      <c r="B14" s="547"/>
      <c r="H14" s="676"/>
    </row>
    <row r="15" spans="1:21" ht="30" customHeight="1">
      <c r="A15" s="673"/>
      <c r="B15" s="619" t="s">
        <v>766</v>
      </c>
      <c r="C15" s="619"/>
      <c r="D15" s="619"/>
      <c r="E15" s="619"/>
      <c r="F15" s="619"/>
      <c r="G15" s="619"/>
      <c r="H15" s="619"/>
    </row>
    <row r="16" spans="1:21">
      <c r="A16" s="673"/>
    </row>
    <row r="17" spans="1:8">
      <c r="A17" s="673"/>
      <c r="B17" s="546" t="s">
        <v>186</v>
      </c>
      <c r="C17" s="546" t="s">
        <v>188</v>
      </c>
      <c r="D17" s="546" t="s">
        <v>190</v>
      </c>
      <c r="E17" s="546" t="s">
        <v>193</v>
      </c>
      <c r="F17" s="546" t="s">
        <v>196</v>
      </c>
      <c r="G17" s="546" t="s">
        <v>198</v>
      </c>
      <c r="H17" s="546" t="s">
        <v>207</v>
      </c>
    </row>
    <row r="18" spans="1:8" ht="31.5">
      <c r="A18" s="673"/>
      <c r="B18" s="539" t="s">
        <v>702</v>
      </c>
      <c r="C18" s="548" t="s">
        <v>48</v>
      </c>
      <c r="D18" s="548" t="s">
        <v>767</v>
      </c>
      <c r="E18" s="548" t="s">
        <v>389</v>
      </c>
      <c r="F18" s="548" t="s">
        <v>696</v>
      </c>
      <c r="G18" s="548" t="s">
        <v>697</v>
      </c>
      <c r="H18" s="548" t="s">
        <v>768</v>
      </c>
    </row>
    <row r="19" spans="1:8" ht="22.5" customHeight="1">
      <c r="A19" s="673">
        <f>A12+1</f>
        <v>5</v>
      </c>
      <c r="B19" s="692"/>
      <c r="C19" s="693"/>
      <c r="D19" s="694"/>
      <c r="E19" s="694"/>
      <c r="F19" s="694"/>
      <c r="G19" s="694"/>
      <c r="H19" s="695"/>
    </row>
    <row r="20" spans="1:8" ht="22.5" customHeight="1">
      <c r="A20" s="673">
        <f t="shared" ref="A20:A32" si="0">+A19+1</f>
        <v>6</v>
      </c>
      <c r="B20" s="696"/>
      <c r="C20" s="693"/>
      <c r="D20" s="694"/>
      <c r="E20" s="694"/>
      <c r="F20" s="694"/>
      <c r="G20" s="694"/>
      <c r="H20" s="695"/>
    </row>
    <row r="21" spans="1:8" ht="22.5" customHeight="1">
      <c r="A21" s="673">
        <f t="shared" si="0"/>
        <v>7</v>
      </c>
      <c r="B21" s="696"/>
      <c r="C21" s="693"/>
      <c r="D21" s="694"/>
      <c r="E21" s="694"/>
      <c r="F21" s="694"/>
      <c r="G21" s="694"/>
      <c r="H21" s="695"/>
    </row>
    <row r="22" spans="1:8" ht="22.5" customHeight="1">
      <c r="A22" s="673">
        <f t="shared" si="0"/>
        <v>8</v>
      </c>
      <c r="B22" s="696"/>
      <c r="C22" s="693"/>
      <c r="D22" s="694"/>
      <c r="E22" s="694"/>
      <c r="F22" s="694"/>
      <c r="G22" s="694"/>
      <c r="H22" s="695"/>
    </row>
    <row r="23" spans="1:8" ht="22.5" customHeight="1">
      <c r="A23" s="673">
        <f t="shared" si="0"/>
        <v>9</v>
      </c>
      <c r="B23" s="696"/>
      <c r="C23" s="693"/>
      <c r="D23" s="694"/>
      <c r="E23" s="694"/>
      <c r="F23" s="694"/>
      <c r="G23" s="694"/>
      <c r="H23" s="695"/>
    </row>
    <row r="24" spans="1:8" ht="22.5" customHeight="1">
      <c r="A24" s="673">
        <f t="shared" si="0"/>
        <v>10</v>
      </c>
      <c r="B24" s="696"/>
      <c r="C24" s="693"/>
      <c r="D24" s="694"/>
      <c r="E24" s="694"/>
      <c r="F24" s="694"/>
      <c r="G24" s="694"/>
      <c r="H24" s="695"/>
    </row>
    <row r="25" spans="1:8" ht="22.5" customHeight="1">
      <c r="A25" s="673">
        <f t="shared" si="0"/>
        <v>11</v>
      </c>
      <c r="B25" s="696"/>
      <c r="C25" s="693"/>
      <c r="D25" s="694"/>
      <c r="E25" s="694"/>
      <c r="F25" s="694"/>
      <c r="G25" s="694"/>
      <c r="H25" s="695"/>
    </row>
    <row r="26" spans="1:8" ht="22.5" customHeight="1">
      <c r="A26" s="673">
        <f t="shared" si="0"/>
        <v>12</v>
      </c>
      <c r="B26" s="696"/>
      <c r="C26" s="693"/>
      <c r="D26" s="697"/>
      <c r="E26" s="694"/>
      <c r="F26" s="694"/>
      <c r="G26" s="694"/>
      <c r="H26" s="695"/>
    </row>
    <row r="27" spans="1:8" ht="22.5" customHeight="1">
      <c r="A27" s="673">
        <f t="shared" si="0"/>
        <v>13</v>
      </c>
      <c r="B27" s="696"/>
      <c r="C27" s="693"/>
      <c r="D27" s="694"/>
      <c r="E27" s="694"/>
      <c r="F27" s="694"/>
      <c r="G27" s="694"/>
      <c r="H27" s="695"/>
    </row>
    <row r="28" spans="1:8" ht="30" customHeight="1">
      <c r="A28" s="673">
        <f t="shared" si="0"/>
        <v>14</v>
      </c>
      <c r="B28" s="698" t="s">
        <v>48</v>
      </c>
      <c r="C28" s="699"/>
      <c r="D28" s="699"/>
      <c r="E28" s="699"/>
      <c r="F28" s="699"/>
      <c r="G28" s="699"/>
      <c r="H28" s="700" t="s">
        <v>770</v>
      </c>
    </row>
    <row r="29" spans="1:8" ht="20.25" customHeight="1">
      <c r="A29" s="673">
        <f t="shared" si="0"/>
        <v>15</v>
      </c>
      <c r="B29" s="701" t="s">
        <v>788</v>
      </c>
      <c r="C29" s="702">
        <f>SUBTOTAL(9,C19:C28)</f>
        <v>0</v>
      </c>
      <c r="D29" s="599">
        <f>SUM(D19:D28)</f>
        <v>0</v>
      </c>
      <c r="E29" s="599">
        <f>SUM(E19:E28)</f>
        <v>0</v>
      </c>
      <c r="F29" s="599">
        <f>SUM(F19:F28)</f>
        <v>0</v>
      </c>
      <c r="G29" s="599">
        <f>SUM(G19:G28)</f>
        <v>0</v>
      </c>
      <c r="H29" s="703"/>
    </row>
    <row r="30" spans="1:8" ht="20.25" customHeight="1">
      <c r="A30" s="673">
        <f t="shared" si="0"/>
        <v>16</v>
      </c>
      <c r="B30" s="704" t="s">
        <v>772</v>
      </c>
      <c r="C30" s="705"/>
      <c r="D30" s="705"/>
      <c r="E30" s="705"/>
      <c r="F30" s="706"/>
      <c r="G30" s="707"/>
      <c r="H30" s="695"/>
    </row>
    <row r="31" spans="1:8" ht="20.25" customHeight="1">
      <c r="A31" s="673">
        <f t="shared" si="0"/>
        <v>17</v>
      </c>
      <c r="B31" s="708" t="s">
        <v>773</v>
      </c>
      <c r="C31" s="709"/>
      <c r="D31" s="709"/>
      <c r="E31" s="709"/>
      <c r="F31" s="709"/>
      <c r="G31" s="709"/>
      <c r="H31" s="710"/>
    </row>
    <row r="32" spans="1:8" ht="20.25" customHeight="1" thickBot="1">
      <c r="A32" s="673">
        <f t="shared" si="0"/>
        <v>18</v>
      </c>
      <c r="B32" s="711" t="s">
        <v>48</v>
      </c>
      <c r="C32" s="712">
        <f>+C29-C30-C31</f>
        <v>0</v>
      </c>
      <c r="D32" s="712">
        <f>+D29-D30-D31</f>
        <v>0</v>
      </c>
      <c r="E32" s="712">
        <f>+E29-E30-E31</f>
        <v>0</v>
      </c>
      <c r="F32" s="712">
        <f>+F29-F30-F31</f>
        <v>0</v>
      </c>
      <c r="G32" s="712">
        <f>+G29-G30-G31</f>
        <v>0</v>
      </c>
      <c r="H32" s="713"/>
    </row>
    <row r="33" spans="1:8" ht="20.25" customHeight="1" thickTop="1">
      <c r="A33" s="673"/>
      <c r="B33" s="547" t="s">
        <v>774</v>
      </c>
      <c r="C33" s="675"/>
      <c r="D33" s="714"/>
      <c r="E33" s="546"/>
      <c r="G33" s="715"/>
    </row>
    <row r="34" spans="1:8" ht="20.25" customHeight="1">
      <c r="A34" s="673"/>
      <c r="B34" s="716" t="s">
        <v>775</v>
      </c>
      <c r="C34" s="716"/>
      <c r="D34" s="716"/>
      <c r="E34" s="716"/>
      <c r="F34" s="716"/>
      <c r="G34" s="716"/>
    </row>
    <row r="35" spans="1:8" ht="20.25" customHeight="1">
      <c r="A35" s="673"/>
      <c r="B35" s="539" t="s">
        <v>776</v>
      </c>
      <c r="F35" s="546"/>
      <c r="G35" s="546"/>
    </row>
    <row r="36" spans="1:8" ht="20.25" customHeight="1">
      <c r="A36" s="673"/>
      <c r="B36" s="539" t="s">
        <v>777</v>
      </c>
      <c r="F36" s="546"/>
      <c r="G36" s="546"/>
    </row>
    <row r="37" spans="1:8" ht="20.25" customHeight="1">
      <c r="A37" s="673"/>
      <c r="B37" s="539" t="s">
        <v>778</v>
      </c>
      <c r="F37" s="546"/>
      <c r="G37" s="546"/>
    </row>
    <row r="38" spans="1:8" ht="33" customHeight="1">
      <c r="A38" s="673"/>
      <c r="B38" s="716" t="s">
        <v>789</v>
      </c>
      <c r="C38" s="716"/>
      <c r="D38" s="716"/>
      <c r="E38" s="716"/>
      <c r="F38" s="716"/>
      <c r="G38" s="716"/>
      <c r="H38" s="717"/>
    </row>
    <row r="39" spans="1:8">
      <c r="A39" s="673"/>
      <c r="B39" s="717"/>
      <c r="C39" s="717"/>
      <c r="D39" s="717"/>
      <c r="E39" s="717"/>
      <c r="F39" s="717"/>
      <c r="G39" s="717"/>
      <c r="H39" s="717"/>
    </row>
    <row r="40" spans="1:8">
      <c r="A40" s="673"/>
      <c r="B40" s="547"/>
    </row>
    <row r="41" spans="1:8">
      <c r="A41" s="673"/>
      <c r="B41" s="546" t="s">
        <v>186</v>
      </c>
      <c r="C41" s="546" t="s">
        <v>188</v>
      </c>
      <c r="D41" s="546" t="s">
        <v>190</v>
      </c>
      <c r="E41" s="546" t="s">
        <v>193</v>
      </c>
      <c r="F41" s="546" t="s">
        <v>196</v>
      </c>
      <c r="G41" s="546" t="s">
        <v>198</v>
      </c>
      <c r="H41" s="546" t="s">
        <v>207</v>
      </c>
    </row>
    <row r="42" spans="1:8" ht="31.5">
      <c r="A42" s="673"/>
      <c r="B42" s="539" t="s">
        <v>721</v>
      </c>
      <c r="C42" s="548" t="s">
        <v>48</v>
      </c>
      <c r="D42" s="548" t="s">
        <v>767</v>
      </c>
      <c r="E42" s="548" t="s">
        <v>389</v>
      </c>
      <c r="F42" s="548" t="s">
        <v>696</v>
      </c>
      <c r="G42" s="548" t="s">
        <v>697</v>
      </c>
      <c r="H42" s="548" t="s">
        <v>768</v>
      </c>
    </row>
    <row r="43" spans="1:8" ht="19.5" customHeight="1">
      <c r="A43" s="673">
        <f>A32+1</f>
        <v>19</v>
      </c>
      <c r="B43" s="696" t="s">
        <v>781</v>
      </c>
      <c r="C43" s="693">
        <f>+E43</f>
        <v>-1660919</v>
      </c>
      <c r="D43" s="694"/>
      <c r="E43" s="694">
        <f>-2260647+599728</f>
        <v>-1660919</v>
      </c>
      <c r="F43" s="694"/>
      <c r="G43" s="694"/>
      <c r="H43" s="695"/>
    </row>
    <row r="44" spans="1:8" ht="19.5" customHeight="1">
      <c r="A44" s="673">
        <f t="shared" ref="A44:A54" si="1">+A43+1</f>
        <v>20</v>
      </c>
      <c r="B44" s="696"/>
      <c r="C44" s="693"/>
      <c r="D44" s="694"/>
      <c r="E44" s="694"/>
      <c r="F44" s="694"/>
      <c r="G44" s="694"/>
      <c r="H44" s="695"/>
    </row>
    <row r="45" spans="1:8" ht="19.5" customHeight="1">
      <c r="A45" s="673">
        <f t="shared" si="1"/>
        <v>21</v>
      </c>
      <c r="B45" s="696"/>
      <c r="C45" s="693"/>
      <c r="D45" s="694"/>
      <c r="E45" s="694"/>
      <c r="F45" s="694"/>
      <c r="G45" s="694"/>
      <c r="H45" s="695"/>
    </row>
    <row r="46" spans="1:8" ht="19.5" customHeight="1">
      <c r="A46" s="673">
        <f t="shared" si="1"/>
        <v>22</v>
      </c>
      <c r="B46" s="696"/>
      <c r="C46" s="693"/>
      <c r="D46" s="694"/>
      <c r="E46" s="694"/>
      <c r="F46" s="694"/>
      <c r="G46" s="694"/>
      <c r="H46" s="695"/>
    </row>
    <row r="47" spans="1:8" ht="19.5" customHeight="1">
      <c r="A47" s="673">
        <f t="shared" si="1"/>
        <v>23</v>
      </c>
      <c r="B47" s="696"/>
      <c r="C47" s="694"/>
      <c r="D47" s="694"/>
      <c r="E47" s="694"/>
      <c r="F47" s="694"/>
      <c r="G47" s="694"/>
      <c r="H47" s="695"/>
    </row>
    <row r="48" spans="1:8" ht="19.5" customHeight="1">
      <c r="A48" s="673">
        <f t="shared" si="1"/>
        <v>24</v>
      </c>
      <c r="B48" s="696"/>
      <c r="C48" s="694"/>
      <c r="D48" s="694"/>
      <c r="E48" s="694"/>
      <c r="F48" s="694"/>
      <c r="G48" s="694"/>
      <c r="H48" s="695"/>
    </row>
    <row r="49" spans="1:8" ht="19.5" customHeight="1">
      <c r="A49" s="673">
        <f t="shared" si="1"/>
        <v>25</v>
      </c>
      <c r="B49" s="718"/>
      <c r="C49" s="719"/>
      <c r="D49" s="719"/>
      <c r="E49" s="719"/>
      <c r="F49" s="719"/>
      <c r="G49" s="719"/>
      <c r="H49" s="695"/>
    </row>
    <row r="50" spans="1:8" ht="19.5" customHeight="1">
      <c r="A50" s="673">
        <f t="shared" si="1"/>
        <v>26</v>
      </c>
      <c r="B50" s="698" t="s">
        <v>48</v>
      </c>
      <c r="C50" s="733">
        <f>+E50</f>
        <v>-599728</v>
      </c>
      <c r="D50" s="733"/>
      <c r="E50" s="721">
        <f>-2260647+1660919</f>
        <v>-599728</v>
      </c>
      <c r="F50" s="733"/>
      <c r="G50" s="733"/>
      <c r="H50" s="700"/>
    </row>
    <row r="51" spans="1:8" ht="19.5" customHeight="1">
      <c r="A51" s="673">
        <f t="shared" si="1"/>
        <v>27</v>
      </c>
      <c r="B51" s="722" t="s">
        <v>790</v>
      </c>
      <c r="C51" s="599">
        <f>SUBTOTAL(9,C43:C50)</f>
        <v>-2260647</v>
      </c>
      <c r="D51" s="599">
        <f>SUM(D43:D50)</f>
        <v>0</v>
      </c>
      <c r="E51" s="599">
        <f>SUM(E43:E50)</f>
        <v>-2260647</v>
      </c>
      <c r="F51" s="599">
        <f>SUM(F43:F50)</f>
        <v>0</v>
      </c>
      <c r="G51" s="599">
        <f>SUM(G43:G50)</f>
        <v>0</v>
      </c>
      <c r="H51" s="703"/>
    </row>
    <row r="52" spans="1:8" ht="19.5" customHeight="1">
      <c r="A52" s="673">
        <f t="shared" si="1"/>
        <v>28</v>
      </c>
      <c r="B52" s="722" t="s">
        <v>772</v>
      </c>
      <c r="C52" s="705">
        <f>+E52</f>
        <v>-1660919</v>
      </c>
      <c r="D52" s="705"/>
      <c r="E52" s="705">
        <v>-1660919</v>
      </c>
      <c r="F52" s="705"/>
      <c r="G52" s="705"/>
      <c r="H52" s="695"/>
    </row>
    <row r="53" spans="1:8" ht="19.5" customHeight="1">
      <c r="A53" s="673">
        <f t="shared" si="1"/>
        <v>29</v>
      </c>
      <c r="B53" s="723" t="s">
        <v>773</v>
      </c>
      <c r="C53" s="709"/>
      <c r="D53" s="709"/>
      <c r="E53" s="709"/>
      <c r="F53" s="709"/>
      <c r="G53" s="709"/>
      <c r="H53" s="710"/>
    </row>
    <row r="54" spans="1:8" ht="19.5" customHeight="1" thickBot="1">
      <c r="A54" s="673">
        <f t="shared" si="1"/>
        <v>30</v>
      </c>
      <c r="B54" s="711" t="s">
        <v>48</v>
      </c>
      <c r="C54" s="712">
        <f>+C51-C52-C53</f>
        <v>-599728</v>
      </c>
      <c r="D54" s="712">
        <f>+D51-D52-D53</f>
        <v>0</v>
      </c>
      <c r="E54" s="712">
        <f>+E51-E52-E53</f>
        <v>-599728</v>
      </c>
      <c r="F54" s="712">
        <f>+F51-F52-F53</f>
        <v>0</v>
      </c>
      <c r="G54" s="712">
        <f>+G51-G52-G53</f>
        <v>0</v>
      </c>
      <c r="H54" s="713"/>
    </row>
    <row r="55" spans="1:8" ht="20.25" customHeight="1" thickTop="1">
      <c r="A55" s="673"/>
      <c r="B55" s="547" t="s">
        <v>783</v>
      </c>
      <c r="D55" s="546"/>
      <c r="E55" s="714"/>
      <c r="G55" s="717"/>
    </row>
    <row r="56" spans="1:8" ht="20.25" customHeight="1">
      <c r="A56" s="673"/>
      <c r="B56" s="716" t="s">
        <v>775</v>
      </c>
      <c r="C56" s="716"/>
      <c r="D56" s="716"/>
      <c r="E56" s="716"/>
      <c r="F56" s="716"/>
      <c r="G56" s="716"/>
    </row>
    <row r="57" spans="1:8" ht="20.25" customHeight="1">
      <c r="A57" s="673"/>
      <c r="B57" s="539" t="s">
        <v>776</v>
      </c>
      <c r="F57" s="546"/>
      <c r="G57" s="546"/>
    </row>
    <row r="58" spans="1:8" ht="20.25" customHeight="1">
      <c r="A58" s="673"/>
      <c r="B58" s="539" t="s">
        <v>777</v>
      </c>
      <c r="F58" s="546"/>
      <c r="G58" s="546"/>
    </row>
    <row r="59" spans="1:8" ht="20.25" customHeight="1">
      <c r="A59" s="673"/>
      <c r="B59" s="539" t="s">
        <v>778</v>
      </c>
      <c r="F59" s="546"/>
      <c r="G59" s="546"/>
    </row>
    <row r="60" spans="1:8" ht="33.75" customHeight="1">
      <c r="A60" s="673"/>
      <c r="B60" s="716" t="s">
        <v>779</v>
      </c>
      <c r="C60" s="716"/>
      <c r="D60" s="716"/>
      <c r="E60" s="716"/>
      <c r="F60" s="716"/>
      <c r="G60" s="716"/>
      <c r="H60" s="717"/>
    </row>
    <row r="61" spans="1:8" ht="11.25" customHeight="1">
      <c r="A61" s="673"/>
      <c r="H61" s="717"/>
    </row>
    <row r="62" spans="1:8" ht="11.25" customHeight="1">
      <c r="A62" s="673"/>
      <c r="H62" s="717"/>
    </row>
    <row r="63" spans="1:8">
      <c r="A63" s="673"/>
      <c r="B63" s="546" t="s">
        <v>186</v>
      </c>
      <c r="C63" s="546" t="s">
        <v>188</v>
      </c>
      <c r="D63" s="546" t="s">
        <v>190</v>
      </c>
      <c r="E63" s="546" t="s">
        <v>193</v>
      </c>
      <c r="F63" s="546" t="s">
        <v>196</v>
      </c>
      <c r="G63" s="546" t="s">
        <v>198</v>
      </c>
      <c r="H63" s="546" t="s">
        <v>207</v>
      </c>
    </row>
    <row r="64" spans="1:8" ht="31.5">
      <c r="A64" s="673"/>
      <c r="B64" s="539" t="s">
        <v>727</v>
      </c>
      <c r="C64" s="548" t="s">
        <v>48</v>
      </c>
      <c r="D64" s="548" t="s">
        <v>767</v>
      </c>
      <c r="E64" s="548" t="s">
        <v>389</v>
      </c>
      <c r="F64" s="548" t="s">
        <v>696</v>
      </c>
      <c r="G64" s="548" t="s">
        <v>697</v>
      </c>
      <c r="H64" s="548" t="s">
        <v>768</v>
      </c>
    </row>
    <row r="65" spans="1:10" ht="16.5" customHeight="1">
      <c r="A65" s="673">
        <f>A54+1</f>
        <v>31</v>
      </c>
      <c r="B65" s="724"/>
      <c r="C65" s="693">
        <f>+E65</f>
        <v>-5244008</v>
      </c>
      <c r="D65" s="694"/>
      <c r="E65" s="694">
        <v>-5244008</v>
      </c>
      <c r="F65" s="694"/>
      <c r="G65" s="694"/>
      <c r="H65" s="695"/>
    </row>
    <row r="66" spans="1:10" ht="16.5" customHeight="1">
      <c r="A66" s="673">
        <f t="shared" ref="A66:A78" si="2">+A65+1</f>
        <v>32</v>
      </c>
      <c r="B66" s="696"/>
      <c r="C66" s="693"/>
      <c r="D66" s="694"/>
      <c r="E66" s="694"/>
      <c r="F66" s="694"/>
      <c r="G66" s="694"/>
      <c r="H66" s="695"/>
      <c r="J66" s="725"/>
    </row>
    <row r="67" spans="1:10" ht="16.5" customHeight="1">
      <c r="A67" s="673">
        <f t="shared" si="2"/>
        <v>33</v>
      </c>
      <c r="B67" s="696"/>
      <c r="C67" s="693"/>
      <c r="D67" s="694"/>
      <c r="E67" s="694"/>
      <c r="F67" s="694"/>
      <c r="G67" s="694"/>
      <c r="H67" s="695"/>
    </row>
    <row r="68" spans="1:10" ht="16.5" customHeight="1">
      <c r="A68" s="673">
        <f t="shared" si="2"/>
        <v>34</v>
      </c>
      <c r="B68" s="696"/>
      <c r="C68" s="693"/>
      <c r="D68" s="694"/>
      <c r="E68" s="694"/>
      <c r="F68" s="694"/>
      <c r="G68" s="694"/>
      <c r="H68" s="695"/>
    </row>
    <row r="69" spans="1:10" ht="16.5" customHeight="1">
      <c r="A69" s="673">
        <f t="shared" si="2"/>
        <v>35</v>
      </c>
      <c r="B69" s="696"/>
      <c r="C69" s="694"/>
      <c r="D69" s="719"/>
      <c r="E69" s="694"/>
      <c r="F69" s="694"/>
      <c r="G69" s="694"/>
      <c r="H69" s="695"/>
    </row>
    <row r="70" spans="1:10" ht="16.5" customHeight="1">
      <c r="A70" s="673">
        <f t="shared" si="2"/>
        <v>36</v>
      </c>
      <c r="B70" s="696"/>
      <c r="C70" s="694"/>
      <c r="D70" s="719"/>
      <c r="E70" s="694"/>
      <c r="F70" s="694"/>
      <c r="G70" s="694"/>
      <c r="H70" s="695"/>
    </row>
    <row r="71" spans="1:10" ht="16.5" customHeight="1">
      <c r="A71" s="673">
        <f t="shared" si="2"/>
        <v>37</v>
      </c>
      <c r="B71" s="696"/>
      <c r="C71" s="694"/>
      <c r="D71" s="719"/>
      <c r="E71" s="694"/>
      <c r="F71" s="694"/>
      <c r="G71" s="694"/>
      <c r="H71" s="695"/>
    </row>
    <row r="72" spans="1:10" ht="16.5" customHeight="1">
      <c r="A72" s="673">
        <f t="shared" si="2"/>
        <v>38</v>
      </c>
      <c r="B72" s="696"/>
      <c r="C72" s="694"/>
      <c r="D72" s="697"/>
      <c r="E72" s="694"/>
      <c r="F72" s="694"/>
      <c r="G72" s="694"/>
      <c r="H72" s="695"/>
    </row>
    <row r="73" spans="1:10" ht="16.5" customHeight="1">
      <c r="A73" s="673">
        <f t="shared" si="2"/>
        <v>39</v>
      </c>
      <c r="B73" s="696"/>
      <c r="C73" s="694"/>
      <c r="D73" s="694"/>
      <c r="E73" s="694"/>
      <c r="F73" s="694"/>
      <c r="G73" s="694"/>
      <c r="H73" s="695"/>
    </row>
    <row r="74" spans="1:10" ht="21.75" customHeight="1">
      <c r="A74" s="673">
        <f t="shared" si="2"/>
        <v>40</v>
      </c>
      <c r="B74" s="698" t="s">
        <v>791</v>
      </c>
      <c r="C74" s="721"/>
      <c r="D74" s="721"/>
      <c r="E74" s="721"/>
      <c r="F74" s="721"/>
      <c r="G74" s="721"/>
      <c r="H74" s="700" t="s">
        <v>770</v>
      </c>
    </row>
    <row r="75" spans="1:10" ht="15.75" customHeight="1">
      <c r="A75" s="673">
        <f t="shared" si="2"/>
        <v>41</v>
      </c>
      <c r="B75" s="701" t="s">
        <v>792</v>
      </c>
      <c r="C75" s="702">
        <f>SUBTOTAL(9,C65:C74)</f>
        <v>-5244008</v>
      </c>
      <c r="D75" s="702">
        <f>SUM(D65:D74)</f>
        <v>0</v>
      </c>
      <c r="E75" s="702">
        <f>SUM(E65:E74)</f>
        <v>-5244008</v>
      </c>
      <c r="F75" s="702">
        <f>SUM(F65:F74)</f>
        <v>0</v>
      </c>
      <c r="G75" s="702">
        <f>SUM(G65:G74)</f>
        <v>0</v>
      </c>
      <c r="H75" s="695"/>
    </row>
    <row r="76" spans="1:10" ht="15.75" customHeight="1">
      <c r="A76" s="673">
        <f t="shared" si="2"/>
        <v>42</v>
      </c>
      <c r="B76" s="701" t="s">
        <v>772</v>
      </c>
      <c r="C76" s="706">
        <f>+E76</f>
        <v>-645390</v>
      </c>
      <c r="D76" s="706"/>
      <c r="E76" s="706">
        <f>-5244008+4598618</f>
        <v>-645390</v>
      </c>
      <c r="F76" s="706"/>
      <c r="G76" s="706"/>
      <c r="H76" s="695"/>
    </row>
    <row r="77" spans="1:10" ht="15.75" customHeight="1">
      <c r="A77" s="673">
        <f t="shared" si="2"/>
        <v>43</v>
      </c>
      <c r="B77" s="726" t="s">
        <v>773</v>
      </c>
      <c r="C77" s="727"/>
      <c r="D77" s="727"/>
      <c r="E77" s="727"/>
      <c r="F77" s="727"/>
      <c r="G77" s="727"/>
      <c r="H77" s="710"/>
    </row>
    <row r="78" spans="1:10" ht="15.75" customHeight="1" thickBot="1">
      <c r="A78" s="673">
        <f t="shared" si="2"/>
        <v>44</v>
      </c>
      <c r="B78" s="711" t="s">
        <v>48</v>
      </c>
      <c r="C78" s="728">
        <f>+C75-C76-C77</f>
        <v>-4598618</v>
      </c>
      <c r="D78" s="728">
        <f>+D75-D76-D77</f>
        <v>0</v>
      </c>
      <c r="E78" s="728">
        <f>+E75-E76-E77</f>
        <v>-4598618</v>
      </c>
      <c r="F78" s="728">
        <f>+F75-F76-F77</f>
        <v>0</v>
      </c>
      <c r="G78" s="728">
        <f>+G75-G76-G77</f>
        <v>0</v>
      </c>
      <c r="H78" s="713"/>
    </row>
    <row r="79" spans="1:10" ht="20.25" customHeight="1" thickTop="1">
      <c r="A79" s="673"/>
      <c r="B79" s="547" t="s">
        <v>786</v>
      </c>
      <c r="E79" s="546"/>
      <c r="F79" s="546"/>
      <c r="H79" s="729"/>
    </row>
    <row r="80" spans="1:10" ht="20.25" customHeight="1">
      <c r="A80" s="673"/>
      <c r="B80" s="716" t="s">
        <v>775</v>
      </c>
      <c r="C80" s="716"/>
      <c r="D80" s="716"/>
      <c r="E80" s="716"/>
      <c r="F80" s="716"/>
      <c r="G80" s="716"/>
    </row>
    <row r="81" spans="1:9" ht="20.25" customHeight="1">
      <c r="A81" s="673"/>
      <c r="B81" s="539" t="s">
        <v>776</v>
      </c>
      <c r="F81" s="546"/>
      <c r="G81" s="546"/>
    </row>
    <row r="82" spans="1:9" ht="20.25" customHeight="1">
      <c r="A82" s="673"/>
      <c r="B82" s="539" t="s">
        <v>777</v>
      </c>
      <c r="F82" s="546"/>
      <c r="G82" s="546"/>
    </row>
    <row r="83" spans="1:9" ht="20.25" customHeight="1">
      <c r="A83" s="673"/>
      <c r="B83" s="539" t="s">
        <v>778</v>
      </c>
      <c r="F83" s="546"/>
      <c r="G83" s="546"/>
    </row>
    <row r="84" spans="1:9" ht="32.25" customHeight="1">
      <c r="A84" s="673"/>
      <c r="B84" s="716" t="s">
        <v>779</v>
      </c>
      <c r="C84" s="716"/>
      <c r="D84" s="716"/>
      <c r="E84" s="716"/>
      <c r="F84" s="716"/>
      <c r="G84" s="716"/>
    </row>
    <row r="86" spans="1:9" ht="15.75" customHeight="1">
      <c r="B86" s="730"/>
      <c r="C86" s="730"/>
      <c r="D86" s="730"/>
      <c r="E86" s="730"/>
      <c r="F86" s="730"/>
      <c r="G86" s="730"/>
      <c r="H86" s="730"/>
    </row>
    <row r="87" spans="1:9">
      <c r="B87" s="542"/>
      <c r="C87" s="542"/>
      <c r="D87" s="542"/>
      <c r="E87" s="542"/>
      <c r="F87" s="542"/>
      <c r="G87" s="542"/>
      <c r="H87" s="542"/>
    </row>
    <row r="88" spans="1:9">
      <c r="B88" s="547"/>
    </row>
    <row r="89" spans="1:9">
      <c r="B89" s="547"/>
    </row>
    <row r="90" spans="1:9" ht="15.75" customHeight="1">
      <c r="B90" s="547"/>
    </row>
    <row r="91" spans="1:9">
      <c r="B91" s="547"/>
      <c r="D91" s="689"/>
      <c r="E91" s="689"/>
      <c r="F91" s="689"/>
      <c r="G91" s="689"/>
      <c r="H91" s="689"/>
      <c r="I91" s="690"/>
    </row>
    <row r="92" spans="1:9">
      <c r="B92" s="547"/>
      <c r="D92" s="689"/>
      <c r="E92" s="689"/>
      <c r="F92" s="689"/>
      <c r="G92" s="689"/>
      <c r="H92" s="689"/>
      <c r="I92" s="690"/>
    </row>
    <row r="93" spans="1:9">
      <c r="D93" s="546"/>
      <c r="E93" s="546"/>
    </row>
    <row r="94" spans="1:9">
      <c r="D94" s="444"/>
      <c r="E94" s="444"/>
    </row>
    <row r="95" spans="1:9">
      <c r="D95" s="444"/>
      <c r="E95" s="444"/>
    </row>
    <row r="96" spans="1:9">
      <c r="D96" s="444"/>
      <c r="E96" s="444"/>
    </row>
    <row r="97" spans="2:5">
      <c r="D97" s="444"/>
      <c r="E97" s="444"/>
    </row>
    <row r="98" spans="2:5">
      <c r="D98" s="444"/>
      <c r="E98" s="444"/>
    </row>
    <row r="99" spans="2:5">
      <c r="D99" s="444"/>
      <c r="E99" s="444"/>
    </row>
    <row r="100" spans="2:5">
      <c r="D100" s="444"/>
      <c r="E100" s="444"/>
    </row>
    <row r="101" spans="2:5">
      <c r="D101" s="444"/>
      <c r="E101" s="444"/>
    </row>
    <row r="102" spans="2:5">
      <c r="D102" s="444"/>
      <c r="E102" s="444"/>
    </row>
    <row r="103" spans="2:5">
      <c r="D103" s="444"/>
      <c r="E103" s="444"/>
    </row>
    <row r="104" spans="2:5">
      <c r="B104" s="547"/>
      <c r="D104" s="444"/>
      <c r="E104" s="444"/>
    </row>
    <row r="105" spans="2:5">
      <c r="D105" s="444"/>
      <c r="E105" s="444"/>
    </row>
    <row r="106" spans="2:5">
      <c r="B106" s="547"/>
      <c r="D106" s="444"/>
      <c r="E106" s="444"/>
    </row>
    <row r="210" spans="9:9">
      <c r="I210" s="684"/>
    </row>
  </sheetData>
  <mergeCells count="11">
    <mergeCell ref="B56:G56"/>
    <mergeCell ref="B60:G60"/>
    <mergeCell ref="B80:G80"/>
    <mergeCell ref="B84:G84"/>
    <mergeCell ref="B87:H87"/>
    <mergeCell ref="B1:H1"/>
    <mergeCell ref="B2:H2"/>
    <mergeCell ref="B3:H3"/>
    <mergeCell ref="B15:H15"/>
    <mergeCell ref="B34:G34"/>
    <mergeCell ref="B38:G38"/>
  </mergeCells>
  <printOptions horizontalCentered="1"/>
  <pageMargins left="0.5" right="0.5" top="0.3" bottom="0.3" header="0.33" footer="0.5"/>
  <pageSetup paperSize="5" scale="65" fitToHeight="0" orientation="landscape" r:id="rId1"/>
  <headerFooter alignWithMargins="0"/>
  <rowBreaks count="1" manualBreakCount="1">
    <brk id="40"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DA326-F14D-4BFF-8C7A-0C2E40257897}">
  <sheetPr>
    <pageSetUpPr fitToPage="1"/>
  </sheetPr>
  <dimension ref="A1:T152"/>
  <sheetViews>
    <sheetView view="pageBreakPreview" zoomScale="70" zoomScaleNormal="50" zoomScaleSheetLayoutView="70" workbookViewId="0">
      <selection activeCell="G16" sqref="G16"/>
    </sheetView>
  </sheetViews>
  <sheetFormatPr defaultColWidth="8.77734375" defaultRowHeight="15.75"/>
  <cols>
    <col min="1" max="1" width="5.5546875" style="547" customWidth="1"/>
    <col min="2" max="2" width="28.21875" style="539" customWidth="1"/>
    <col min="3" max="3" width="10.5546875" style="547" bestFit="1" customWidth="1"/>
    <col min="4" max="4" width="9.77734375" style="547" bestFit="1" customWidth="1"/>
    <col min="5" max="5" width="16.21875" style="547" customWidth="1"/>
    <col min="6" max="6" width="12" style="547" customWidth="1"/>
    <col min="7" max="7" width="11.77734375" style="547" customWidth="1"/>
    <col min="8" max="8" width="14" style="665" customWidth="1"/>
    <col min="9" max="9" width="33.5546875" style="665" customWidth="1"/>
    <col min="10" max="10" width="8.77734375" style="665"/>
    <col min="11" max="11" width="12" style="665" customWidth="1"/>
    <col min="12" max="12" width="12.77734375" style="665" customWidth="1"/>
    <col min="13" max="16384" width="8.77734375" style="665"/>
  </cols>
  <sheetData>
    <row r="1" spans="1:20" ht="18" customHeight="1">
      <c r="A1" s="542" t="s">
        <v>793</v>
      </c>
      <c r="B1" s="542"/>
      <c r="C1" s="542"/>
      <c r="D1" s="542"/>
      <c r="E1" s="542"/>
      <c r="F1" s="542"/>
      <c r="G1" s="542"/>
      <c r="H1" s="542"/>
      <c r="I1" s="542"/>
      <c r="J1" s="547"/>
      <c r="K1" s="547"/>
      <c r="L1" s="547"/>
    </row>
    <row r="2" spans="1:20" ht="18" customHeight="1">
      <c r="A2" s="544" t="s">
        <v>6</v>
      </c>
      <c r="B2" s="544"/>
      <c r="C2" s="544"/>
      <c r="D2" s="544"/>
      <c r="E2" s="544"/>
      <c r="F2" s="544"/>
      <c r="G2" s="544"/>
      <c r="H2" s="544"/>
      <c r="I2" s="544"/>
      <c r="J2" s="555"/>
      <c r="K2" s="555"/>
      <c r="L2" s="555"/>
    </row>
    <row r="3" spans="1:20" ht="18" customHeight="1">
      <c r="A3" s="542" t="str">
        <f>'6f-ADIT True-up Proration'!A3:N3</f>
        <v>For the 12 months ended 12/31/2020</v>
      </c>
      <c r="B3" s="542"/>
      <c r="C3" s="542"/>
      <c r="D3" s="542"/>
      <c r="E3" s="542"/>
      <c r="F3" s="542"/>
      <c r="G3" s="542"/>
      <c r="H3" s="666"/>
      <c r="I3" s="542"/>
      <c r="J3" s="547"/>
      <c r="K3" s="547"/>
      <c r="L3" s="547"/>
    </row>
    <row r="4" spans="1:20" ht="18" customHeight="1">
      <c r="A4" s="546"/>
      <c r="B4" s="546"/>
      <c r="C4" s="546"/>
      <c r="D4" s="546"/>
      <c r="E4" s="546"/>
      <c r="F4" s="546"/>
      <c r="G4" s="546"/>
      <c r="H4" s="546"/>
      <c r="I4" s="546"/>
      <c r="J4" s="547"/>
      <c r="K4" s="547"/>
      <c r="L4" s="547"/>
    </row>
    <row r="5" spans="1:20" ht="18">
      <c r="B5" s="546" t="s">
        <v>186</v>
      </c>
      <c r="C5" s="546"/>
      <c r="D5" s="667"/>
      <c r="E5" s="667" t="s">
        <v>188</v>
      </c>
      <c r="F5" s="667" t="s">
        <v>190</v>
      </c>
      <c r="G5" s="667" t="s">
        <v>193</v>
      </c>
      <c r="H5" s="667" t="s">
        <v>196</v>
      </c>
      <c r="I5" s="668"/>
    </row>
    <row r="6" spans="1:20">
      <c r="B6" s="665"/>
      <c r="C6" s="665"/>
      <c r="D6" s="665"/>
      <c r="E6" s="665"/>
      <c r="F6" s="665"/>
      <c r="G6" s="665"/>
      <c r="H6" s="667" t="s">
        <v>693</v>
      </c>
      <c r="I6" s="547"/>
      <c r="T6" s="667"/>
    </row>
    <row r="7" spans="1:20" ht="31.5">
      <c r="A7" s="669" t="s">
        <v>694</v>
      </c>
      <c r="B7" s="669" t="s">
        <v>695</v>
      </c>
      <c r="C7" s="670"/>
      <c r="D7" s="671"/>
      <c r="E7" s="672" t="s">
        <v>389</v>
      </c>
      <c r="F7" s="672" t="s">
        <v>696</v>
      </c>
      <c r="G7" s="672" t="s">
        <v>697</v>
      </c>
      <c r="H7" s="672" t="s">
        <v>794</v>
      </c>
      <c r="I7" s="670"/>
      <c r="T7" s="667"/>
    </row>
    <row r="8" spans="1:20">
      <c r="B8" s="673"/>
      <c r="D8" s="665"/>
      <c r="H8" s="547"/>
      <c r="I8" s="547"/>
      <c r="L8" s="674"/>
    </row>
    <row r="9" spans="1:20" ht="20.25" customHeight="1">
      <c r="A9" s="547">
        <v>1</v>
      </c>
      <c r="B9" s="547" t="s">
        <v>721</v>
      </c>
      <c r="D9" s="665"/>
      <c r="E9" s="31">
        <f>F25</f>
        <v>-146156.09657534244</v>
      </c>
      <c r="F9" s="31">
        <f t="shared" ref="F9:G9" si="0">G25</f>
        <v>0</v>
      </c>
      <c r="G9" s="31">
        <f t="shared" si="0"/>
        <v>0</v>
      </c>
      <c r="H9" s="31"/>
      <c r="I9" s="547" t="s">
        <v>699</v>
      </c>
    </row>
    <row r="10" spans="1:20" ht="20.25" customHeight="1">
      <c r="A10" s="547">
        <f t="shared" ref="A10:A16" si="1">+A9+1</f>
        <v>2</v>
      </c>
      <c r="B10" s="547" t="s">
        <v>727</v>
      </c>
      <c r="D10" s="665"/>
      <c r="E10" s="31">
        <f>F31</f>
        <v>-4598618</v>
      </c>
      <c r="F10" s="31">
        <f>G31</f>
        <v>0</v>
      </c>
      <c r="G10" s="31">
        <f>H31</f>
        <v>0</v>
      </c>
      <c r="H10" s="31"/>
      <c r="I10" s="547" t="s">
        <v>795</v>
      </c>
    </row>
    <row r="11" spans="1:20" ht="20.25" customHeight="1">
      <c r="A11" s="547">
        <f t="shared" si="1"/>
        <v>3</v>
      </c>
      <c r="B11" s="547" t="s">
        <v>702</v>
      </c>
      <c r="D11" s="665"/>
      <c r="E11" s="31">
        <f>F37</f>
        <v>0</v>
      </c>
      <c r="F11" s="31">
        <f>G37</f>
        <v>0</v>
      </c>
      <c r="G11" s="31">
        <f>H37</f>
        <v>0</v>
      </c>
      <c r="H11" s="31"/>
      <c r="I11" s="547" t="s">
        <v>796</v>
      </c>
    </row>
    <row r="12" spans="1:20" ht="20.25" customHeight="1">
      <c r="A12" s="547">
        <f t="shared" si="1"/>
        <v>4</v>
      </c>
      <c r="B12" s="547" t="s">
        <v>704</v>
      </c>
      <c r="D12" s="665"/>
      <c r="E12" s="31">
        <f>SUM(E9:E11)</f>
        <v>-4744774.0965753421</v>
      </c>
      <c r="F12" s="31">
        <f>SUM(F9:F11)</f>
        <v>0</v>
      </c>
      <c r="G12" s="31">
        <f>SUM(G9:G11)</f>
        <v>0</v>
      </c>
      <c r="H12" s="31"/>
      <c r="I12" s="675" t="s">
        <v>705</v>
      </c>
    </row>
    <row r="13" spans="1:20" ht="20.25" customHeight="1">
      <c r="A13" s="547">
        <f t="shared" si="1"/>
        <v>5</v>
      </c>
      <c r="B13" s="547" t="s">
        <v>797</v>
      </c>
      <c r="D13" s="665"/>
      <c r="G13" s="165">
        <f>+'Appendix III'!J183</f>
        <v>1</v>
      </c>
      <c r="H13" s="547"/>
      <c r="I13" s="547" t="s">
        <v>532</v>
      </c>
    </row>
    <row r="14" spans="1:20" ht="20.25" customHeight="1">
      <c r="A14" s="547">
        <f t="shared" si="1"/>
        <v>6</v>
      </c>
      <c r="B14" s="547" t="s">
        <v>708</v>
      </c>
      <c r="D14" s="665"/>
      <c r="F14" s="676">
        <f>+'Appendix III'!H78</f>
        <v>1</v>
      </c>
      <c r="H14" s="547"/>
      <c r="I14" s="547" t="s">
        <v>709</v>
      </c>
    </row>
    <row r="15" spans="1:20" ht="20.25" customHeight="1">
      <c r="A15" s="547">
        <f t="shared" si="1"/>
        <v>7</v>
      </c>
      <c r="B15" s="547" t="s">
        <v>710</v>
      </c>
      <c r="D15" s="665"/>
      <c r="E15" s="676">
        <v>1</v>
      </c>
      <c r="F15" s="676"/>
      <c r="H15" s="547"/>
      <c r="I15" s="677">
        <v>1</v>
      </c>
    </row>
    <row r="16" spans="1:20" ht="37.9" customHeight="1">
      <c r="A16" s="547">
        <f t="shared" si="1"/>
        <v>8</v>
      </c>
      <c r="B16" s="547" t="s">
        <v>798</v>
      </c>
      <c r="D16" s="665"/>
      <c r="E16" s="31">
        <f>+E12*E15</f>
        <v>-4744774.0965753421</v>
      </c>
      <c r="F16" s="31">
        <f>+F14*F12</f>
        <v>0</v>
      </c>
      <c r="G16" s="31">
        <f>+G13*G12</f>
        <v>0</v>
      </c>
      <c r="H16" s="31">
        <f>+E16+F16+G16</f>
        <v>-4744774.0965753421</v>
      </c>
      <c r="I16" s="678" t="s">
        <v>712</v>
      </c>
    </row>
    <row r="17" spans="1:17">
      <c r="B17" s="547"/>
      <c r="D17" s="665"/>
      <c r="E17" s="31"/>
      <c r="F17" s="31"/>
      <c r="G17" s="31"/>
      <c r="H17" s="31"/>
      <c r="I17" s="678"/>
    </row>
    <row r="18" spans="1:17">
      <c r="B18" s="547"/>
      <c r="D18" s="675"/>
      <c r="G18" s="31"/>
      <c r="I18" s="667"/>
    </row>
    <row r="19" spans="1:17">
      <c r="B19" s="546" t="s">
        <v>174</v>
      </c>
      <c r="C19" s="546" t="s">
        <v>370</v>
      </c>
      <c r="D19" s="546" t="s">
        <v>713</v>
      </c>
      <c r="E19" s="546" t="s">
        <v>714</v>
      </c>
      <c r="F19" s="546" t="s">
        <v>715</v>
      </c>
      <c r="G19" s="667" t="s">
        <v>716</v>
      </c>
      <c r="H19" s="667" t="s">
        <v>717</v>
      </c>
      <c r="I19" s="667"/>
    </row>
    <row r="20" spans="1:17" ht="31.5">
      <c r="A20" s="679"/>
      <c r="B20" s="680" t="s">
        <v>718</v>
      </c>
      <c r="C20" s="680" t="s">
        <v>719</v>
      </c>
      <c r="D20" s="680" t="s">
        <v>294</v>
      </c>
      <c r="E20" s="680" t="s">
        <v>720</v>
      </c>
      <c r="F20" s="680" t="s">
        <v>389</v>
      </c>
      <c r="G20" s="680" t="s">
        <v>696</v>
      </c>
      <c r="H20" s="680" t="s">
        <v>697</v>
      </c>
      <c r="I20" s="680"/>
      <c r="Q20" s="667"/>
    </row>
    <row r="21" spans="1:17">
      <c r="A21" s="547" t="s">
        <v>721</v>
      </c>
      <c r="D21" s="734"/>
      <c r="E21" s="546"/>
      <c r="F21" s="546"/>
      <c r="G21" s="665"/>
      <c r="Q21" s="667"/>
    </row>
    <row r="22" spans="1:17" ht="20.25" customHeight="1">
      <c r="A22" s="673">
        <f>A16+1</f>
        <v>9</v>
      </c>
      <c r="B22" s="539" t="s">
        <v>722</v>
      </c>
      <c r="C22" s="547" t="s">
        <v>296</v>
      </c>
      <c r="D22" s="735">
        <v>2019</v>
      </c>
      <c r="E22" s="165">
        <f>'6c- ADIT BOY'!C54</f>
        <v>-284221</v>
      </c>
      <c r="F22" s="165">
        <f>'6c- ADIT BOY'!E54</f>
        <v>-284221</v>
      </c>
      <c r="G22" s="165">
        <f>'6c- ADIT BOY'!F54</f>
        <v>0</v>
      </c>
      <c r="H22" s="165">
        <f>'6c- ADIT BOY'!G54</f>
        <v>0</v>
      </c>
      <c r="I22" s="682"/>
    </row>
    <row r="23" spans="1:17" ht="20.25" customHeight="1">
      <c r="A23" s="673">
        <f>A22+1</f>
        <v>10</v>
      </c>
      <c r="B23" s="539" t="s">
        <v>799</v>
      </c>
      <c r="C23" s="547" t="s">
        <v>296</v>
      </c>
      <c r="D23" s="735">
        <v>2020</v>
      </c>
      <c r="E23" s="165">
        <f>'6d- ADIT EOY'!C54-'6d- ADIT EOY'!C50</f>
        <v>0</v>
      </c>
      <c r="F23" s="165">
        <f>'6d- ADIT EOY'!E54-'6d- ADIT EOY'!E50</f>
        <v>0</v>
      </c>
      <c r="G23" s="165">
        <f>'6d- ADIT EOY'!F54-'6d- ADIT EOY'!F50</f>
        <v>0</v>
      </c>
      <c r="H23" s="165">
        <f>'6d- ADIT EOY'!G54-'6d- ADIT EOY'!G50</f>
        <v>0</v>
      </c>
      <c r="I23" s="682"/>
    </row>
    <row r="24" spans="1:17" ht="20.25" customHeight="1">
      <c r="A24" s="673">
        <f>A23+1</f>
        <v>11</v>
      </c>
      <c r="B24" s="539" t="s">
        <v>800</v>
      </c>
      <c r="C24" s="547" t="s">
        <v>296</v>
      </c>
      <c r="D24" s="735">
        <f>D23</f>
        <v>2020</v>
      </c>
      <c r="E24" s="31">
        <f>'6f-ADIT True-up Proration'!F22</f>
        <v>-315507</v>
      </c>
      <c r="F24" s="31">
        <f>'6f-ADIT True-up Proration'!N21</f>
        <v>-146156.09657534244</v>
      </c>
      <c r="G24" s="31">
        <f>'6f-ADIT True-up Proration'!W21</f>
        <v>0</v>
      </c>
      <c r="H24" s="31">
        <f>'6f-ADIT True-up Proration'!AF21</f>
        <v>0</v>
      </c>
      <c r="I24" s="736"/>
    </row>
    <row r="25" spans="1:17">
      <c r="A25" s="673">
        <f>A24+1</f>
        <v>12</v>
      </c>
      <c r="B25" s="539" t="s">
        <v>801</v>
      </c>
      <c r="D25" s="737"/>
      <c r="E25" s="31">
        <f>E23+E24</f>
        <v>-315507</v>
      </c>
      <c r="F25" s="31">
        <f t="shared" ref="F25:H25" si="2">F23+F24</f>
        <v>-146156.09657534244</v>
      </c>
      <c r="G25" s="31">
        <f t="shared" si="2"/>
        <v>0</v>
      </c>
      <c r="H25" s="31">
        <f t="shared" si="2"/>
        <v>0</v>
      </c>
      <c r="I25" s="736"/>
    </row>
    <row r="26" spans="1:17">
      <c r="A26" s="673"/>
      <c r="D26" s="738"/>
      <c r="G26" s="665"/>
    </row>
    <row r="27" spans="1:17" ht="20.25" customHeight="1">
      <c r="A27" s="547" t="s">
        <v>727</v>
      </c>
      <c r="D27" s="738"/>
      <c r="G27" s="665"/>
    </row>
    <row r="28" spans="1:17" ht="20.25" customHeight="1">
      <c r="A28" s="673">
        <f>A25+1</f>
        <v>13</v>
      </c>
      <c r="B28" s="539" t="s">
        <v>728</v>
      </c>
      <c r="C28" s="547" t="s">
        <v>296</v>
      </c>
      <c r="D28" s="735">
        <v>2019</v>
      </c>
      <c r="E28" s="31">
        <f>'6c- ADIT BOY'!C78</f>
        <v>-3744269</v>
      </c>
      <c r="F28" s="31">
        <f>'6c- ADIT BOY'!E78</f>
        <v>-3744269</v>
      </c>
      <c r="G28" s="31">
        <f>'6c- ADIT BOY'!F78</f>
        <v>0</v>
      </c>
      <c r="H28" s="31">
        <f>'6c- ADIT BOY'!G78</f>
        <v>0</v>
      </c>
      <c r="I28" s="682"/>
    </row>
    <row r="29" spans="1:17" ht="20.25" customHeight="1">
      <c r="A29" s="673">
        <f>A28+1</f>
        <v>14</v>
      </c>
      <c r="B29" s="539" t="s">
        <v>802</v>
      </c>
      <c r="C29" s="547" t="s">
        <v>296</v>
      </c>
      <c r="D29" s="735">
        <v>2020</v>
      </c>
      <c r="E29" s="31">
        <f>'6d- ADIT EOY'!C78-'6d- ADIT EOY'!C74</f>
        <v>-4598618</v>
      </c>
      <c r="F29" s="31">
        <f>'6d- ADIT EOY'!E78-'6d- ADIT EOY'!E74</f>
        <v>-4598618</v>
      </c>
      <c r="G29" s="31">
        <f>'6d- ADIT EOY'!F78-'6d- ADIT EOY'!F74</f>
        <v>0</v>
      </c>
      <c r="H29" s="31">
        <f>'6d- ADIT EOY'!G78-'6d- ADIT EOY'!G74</f>
        <v>0</v>
      </c>
      <c r="I29" s="682"/>
    </row>
    <row r="30" spans="1:17">
      <c r="A30" s="673">
        <f t="shared" ref="A30:A31" si="3">A29+1</f>
        <v>15</v>
      </c>
      <c r="B30" s="539" t="s">
        <v>803</v>
      </c>
      <c r="C30" s="547" t="s">
        <v>296</v>
      </c>
      <c r="D30" s="735">
        <f>D29</f>
        <v>2020</v>
      </c>
      <c r="E30" s="31">
        <f>'6f-ADIT True-up Proration'!F38</f>
        <v>0</v>
      </c>
      <c r="F30" s="31">
        <f>'6f-ADIT True-up Proration'!N37</f>
        <v>0</v>
      </c>
      <c r="G30" s="31">
        <f>'6f-ADIT True-up Proration'!W37</f>
        <v>0</v>
      </c>
      <c r="H30" s="31">
        <f>'6f-ADIT True-up Proration'!AF37</f>
        <v>0</v>
      </c>
      <c r="I30" s="682"/>
    </row>
    <row r="31" spans="1:17">
      <c r="A31" s="673">
        <f t="shared" si="3"/>
        <v>16</v>
      </c>
      <c r="B31" s="539" t="s">
        <v>804</v>
      </c>
      <c r="D31" s="738"/>
      <c r="E31" s="550">
        <f>E29+E30</f>
        <v>-4598618</v>
      </c>
      <c r="F31" s="550">
        <f t="shared" ref="F31:H31" si="4">F29+F30</f>
        <v>-4598618</v>
      </c>
      <c r="G31" s="550">
        <f t="shared" si="4"/>
        <v>0</v>
      </c>
      <c r="H31" s="550">
        <f t="shared" si="4"/>
        <v>0</v>
      </c>
      <c r="I31" s="683"/>
    </row>
    <row r="32" spans="1:17" ht="20.25" customHeight="1">
      <c r="A32" s="673"/>
      <c r="D32" s="738"/>
      <c r="G32" s="665"/>
    </row>
    <row r="33" spans="1:9" ht="20.25" customHeight="1">
      <c r="A33" s="547" t="s">
        <v>702</v>
      </c>
      <c r="D33" s="738"/>
      <c r="G33" s="665"/>
    </row>
    <row r="34" spans="1:9" ht="20.25" customHeight="1">
      <c r="A34" s="673">
        <f>A31+1</f>
        <v>17</v>
      </c>
      <c r="B34" s="539" t="s">
        <v>732</v>
      </c>
      <c r="C34" s="547" t="s">
        <v>296</v>
      </c>
      <c r="D34" s="735">
        <v>2019</v>
      </c>
      <c r="E34" s="31">
        <f>'6c- ADIT BOY'!C32</f>
        <v>1901936</v>
      </c>
      <c r="F34" s="31">
        <f>'6c- ADIT BOY'!E32</f>
        <v>1901936</v>
      </c>
      <c r="G34" s="31">
        <f>'6c- ADIT BOY'!F32</f>
        <v>0</v>
      </c>
      <c r="H34" s="31">
        <f>'6c- ADIT BOY'!G32</f>
        <v>0</v>
      </c>
      <c r="I34" s="682"/>
    </row>
    <row r="35" spans="1:9">
      <c r="A35" s="673">
        <f>A34+1</f>
        <v>18</v>
      </c>
      <c r="B35" s="539" t="s">
        <v>805</v>
      </c>
      <c r="C35" s="547" t="s">
        <v>296</v>
      </c>
      <c r="D35" s="735">
        <v>2020</v>
      </c>
      <c r="E35" s="31">
        <f>'6d- ADIT EOY'!C32-'6d- ADIT EOY'!C28</f>
        <v>0</v>
      </c>
      <c r="F35" s="31">
        <f>'6d- ADIT EOY'!E32-'6d- ADIT EOY'!E28</f>
        <v>0</v>
      </c>
      <c r="G35" s="31">
        <f>'6d- ADIT EOY'!F32-'6d- ADIT EOY'!F28</f>
        <v>0</v>
      </c>
      <c r="H35" s="31">
        <f>'6d- ADIT EOY'!G32-'6d- ADIT EOY'!G28</f>
        <v>0</v>
      </c>
      <c r="I35" s="682"/>
    </row>
    <row r="36" spans="1:9">
      <c r="A36" s="673">
        <f t="shared" ref="A36:A37" si="5">A35+1</f>
        <v>19</v>
      </c>
      <c r="B36" s="539" t="s">
        <v>806</v>
      </c>
      <c r="C36" s="547" t="s">
        <v>296</v>
      </c>
      <c r="D36" s="735">
        <f>D35</f>
        <v>2020</v>
      </c>
      <c r="E36" s="31">
        <f>'6f-ADIT True-up Proration'!F54</f>
        <v>0</v>
      </c>
      <c r="F36" s="31">
        <f>'6f-ADIT True-up Proration'!N53</f>
        <v>0</v>
      </c>
      <c r="G36" s="31">
        <f>'6f-ADIT True-up Proration'!W53</f>
        <v>0</v>
      </c>
      <c r="H36" s="31">
        <f>'6f-ADIT True-up Proration'!AF53</f>
        <v>0</v>
      </c>
      <c r="I36" s="682"/>
    </row>
    <row r="37" spans="1:9">
      <c r="A37" s="673">
        <f t="shared" si="5"/>
        <v>20</v>
      </c>
      <c r="B37" s="539" t="s">
        <v>807</v>
      </c>
      <c r="D37" s="738"/>
      <c r="E37" s="550">
        <f>E35+E36</f>
        <v>0</v>
      </c>
      <c r="F37" s="550">
        <f t="shared" ref="F37:H37" si="6">F35+F36</f>
        <v>0</v>
      </c>
      <c r="G37" s="550">
        <f t="shared" si="6"/>
        <v>0</v>
      </c>
      <c r="H37" s="550">
        <f t="shared" si="6"/>
        <v>0</v>
      </c>
      <c r="I37" s="683"/>
    </row>
    <row r="38" spans="1:9">
      <c r="D38" s="739"/>
    </row>
    <row r="39" spans="1:9">
      <c r="D39" s="739"/>
    </row>
    <row r="40" spans="1:9">
      <c r="D40" s="739"/>
    </row>
    <row r="41" spans="1:9">
      <c r="D41" s="444"/>
    </row>
    <row r="42" spans="1:9">
      <c r="D42" s="444"/>
    </row>
    <row r="43" spans="1:9">
      <c r="D43" s="444"/>
    </row>
    <row r="44" spans="1:9">
      <c r="D44" s="444"/>
    </row>
    <row r="45" spans="1:9">
      <c r="D45" s="444"/>
    </row>
    <row r="46" spans="1:9">
      <c r="B46" s="547"/>
      <c r="D46" s="444"/>
    </row>
    <row r="47" spans="1:9">
      <c r="D47" s="444"/>
    </row>
    <row r="48" spans="1:9">
      <c r="B48" s="547"/>
      <c r="D48" s="444"/>
    </row>
    <row r="66" spans="10:10">
      <c r="J66" s="547"/>
    </row>
    <row r="152" spans="8:8">
      <c r="H152" s="684"/>
    </row>
  </sheetData>
  <mergeCells count="3">
    <mergeCell ref="A1:I1"/>
    <mergeCell ref="A2:I2"/>
    <mergeCell ref="A3:I3"/>
  </mergeCells>
  <printOptions horizontalCentered="1"/>
  <pageMargins left="0.25" right="0.25" top="0.75" bottom="0.75" header="0.3" footer="0.3"/>
  <pageSetup paperSize="5" scale="6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0BAAB-4DF2-4581-93A5-22B0A68AB384}">
  <sheetPr>
    <pageSetUpPr fitToPage="1"/>
  </sheetPr>
  <dimension ref="A1:AG74"/>
  <sheetViews>
    <sheetView zoomScale="85" zoomScaleNormal="85" zoomScaleSheetLayoutView="70" workbookViewId="0">
      <selection activeCell="G16" sqref="G16"/>
    </sheetView>
  </sheetViews>
  <sheetFormatPr defaultColWidth="8.77734375" defaultRowHeight="12.75"/>
  <cols>
    <col min="1" max="1" width="5.5546875" style="741" customWidth="1"/>
    <col min="2" max="2" width="31" style="746" customWidth="1"/>
    <col min="3" max="3" width="10.5546875" style="741" customWidth="1"/>
    <col min="4" max="4" width="9.77734375" style="741" customWidth="1"/>
    <col min="5" max="5" width="10" style="741" customWidth="1"/>
    <col min="6" max="32" width="10.5546875" style="741" customWidth="1"/>
    <col min="33" max="16384" width="8.77734375" style="741"/>
  </cols>
  <sheetData>
    <row r="1" spans="1:33">
      <c r="A1" s="740" t="s">
        <v>808</v>
      </c>
      <c r="B1" s="740"/>
      <c r="C1" s="740"/>
      <c r="D1" s="740"/>
      <c r="E1" s="740"/>
      <c r="F1" s="740"/>
      <c r="G1" s="740"/>
      <c r="H1" s="740"/>
      <c r="I1" s="740"/>
      <c r="J1" s="740"/>
      <c r="K1" s="740"/>
      <c r="L1" s="740"/>
      <c r="M1" s="740"/>
      <c r="N1" s="740"/>
      <c r="P1" s="742"/>
    </row>
    <row r="2" spans="1:33">
      <c r="A2" s="740" t="str">
        <f>'6e-ADIT True-up'!A2:I2</f>
        <v>Horizon West Transmission, LLC</v>
      </c>
      <c r="B2" s="740"/>
      <c r="C2" s="740"/>
      <c r="D2" s="740"/>
      <c r="E2" s="740"/>
      <c r="F2" s="740"/>
      <c r="G2" s="740"/>
      <c r="H2" s="740"/>
      <c r="I2" s="740"/>
      <c r="J2" s="740"/>
      <c r="K2" s="740"/>
      <c r="L2" s="740"/>
      <c r="M2" s="740"/>
      <c r="N2" s="740"/>
      <c r="O2" s="742"/>
      <c r="P2" s="743"/>
      <c r="Q2" s="742"/>
    </row>
    <row r="3" spans="1:33">
      <c r="A3" s="740" t="str">
        <f>+'Appendix III'!M7</f>
        <v>For the 12 months ended 12/31/2020</v>
      </c>
      <c r="B3" s="740"/>
      <c r="C3" s="740"/>
      <c r="D3" s="740"/>
      <c r="E3" s="740"/>
      <c r="F3" s="740"/>
      <c r="G3" s="740"/>
      <c r="H3" s="740"/>
      <c r="I3" s="740"/>
      <c r="J3" s="740"/>
      <c r="K3" s="740"/>
      <c r="L3" s="740"/>
      <c r="M3" s="740"/>
      <c r="N3" s="740"/>
      <c r="O3" s="742"/>
      <c r="P3" s="743"/>
      <c r="Q3" s="744"/>
      <c r="R3" s="744"/>
    </row>
    <row r="4" spans="1:33" ht="13.5" thickBot="1">
      <c r="A4" s="745"/>
      <c r="B4" s="745"/>
      <c r="C4" s="745"/>
      <c r="D4" s="745"/>
      <c r="E4" s="745"/>
      <c r="F4" s="745"/>
      <c r="G4" s="745"/>
      <c r="H4" s="745"/>
      <c r="I4" s="745"/>
      <c r="J4" s="745"/>
      <c r="K4" s="745"/>
      <c r="L4" s="745"/>
      <c r="M4" s="745"/>
      <c r="N4" s="745"/>
      <c r="O4" s="742"/>
      <c r="P4" s="744"/>
      <c r="Q4" s="744"/>
      <c r="R4" s="744"/>
    </row>
    <row r="5" spans="1:33">
      <c r="F5" s="747" t="s">
        <v>58</v>
      </c>
      <c r="G5" s="748"/>
      <c r="H5" s="748"/>
      <c r="I5" s="748"/>
      <c r="J5" s="748"/>
      <c r="K5" s="748"/>
      <c r="L5" s="748"/>
      <c r="M5" s="748"/>
      <c r="N5" s="749"/>
      <c r="O5" s="747" t="s">
        <v>696</v>
      </c>
      <c r="P5" s="748"/>
      <c r="Q5" s="748"/>
      <c r="R5" s="748"/>
      <c r="S5" s="748"/>
      <c r="T5" s="748"/>
      <c r="U5" s="748"/>
      <c r="V5" s="748"/>
      <c r="W5" s="749"/>
      <c r="X5" s="747" t="s">
        <v>697</v>
      </c>
      <c r="Y5" s="748"/>
      <c r="Z5" s="748"/>
      <c r="AA5" s="748"/>
      <c r="AB5" s="748"/>
      <c r="AC5" s="748"/>
      <c r="AD5" s="748"/>
      <c r="AE5" s="748"/>
      <c r="AF5" s="749"/>
      <c r="AG5" s="745"/>
    </row>
    <row r="6" spans="1:33">
      <c r="B6" s="745" t="s">
        <v>174</v>
      </c>
      <c r="C6" s="745" t="s">
        <v>370</v>
      </c>
      <c r="D6" s="745" t="s">
        <v>713</v>
      </c>
      <c r="E6" s="745" t="s">
        <v>714</v>
      </c>
      <c r="F6" s="750" t="s">
        <v>715</v>
      </c>
      <c r="G6" s="745" t="s">
        <v>716</v>
      </c>
      <c r="H6" s="745" t="s">
        <v>717</v>
      </c>
      <c r="I6" s="745" t="s">
        <v>737</v>
      </c>
      <c r="J6" s="751" t="s">
        <v>738</v>
      </c>
      <c r="K6" s="751" t="s">
        <v>739</v>
      </c>
      <c r="L6" s="751" t="s">
        <v>740</v>
      </c>
      <c r="M6" s="751" t="s">
        <v>809</v>
      </c>
      <c r="N6" s="752" t="s">
        <v>810</v>
      </c>
      <c r="O6" s="750" t="s">
        <v>715</v>
      </c>
      <c r="P6" s="745" t="s">
        <v>716</v>
      </c>
      <c r="Q6" s="745" t="s">
        <v>717</v>
      </c>
      <c r="R6" s="745" t="s">
        <v>737</v>
      </c>
      <c r="S6" s="751" t="s">
        <v>738</v>
      </c>
      <c r="T6" s="751" t="s">
        <v>739</v>
      </c>
      <c r="U6" s="751" t="s">
        <v>740</v>
      </c>
      <c r="V6" s="751" t="s">
        <v>809</v>
      </c>
      <c r="W6" s="752" t="s">
        <v>810</v>
      </c>
      <c r="X6" s="750" t="s">
        <v>715</v>
      </c>
      <c r="Y6" s="745" t="s">
        <v>716</v>
      </c>
      <c r="Z6" s="745" t="s">
        <v>717</v>
      </c>
      <c r="AA6" s="745" t="s">
        <v>737</v>
      </c>
      <c r="AB6" s="751" t="s">
        <v>738</v>
      </c>
      <c r="AC6" s="751" t="s">
        <v>739</v>
      </c>
      <c r="AD6" s="751" t="s">
        <v>740</v>
      </c>
      <c r="AE6" s="751" t="s">
        <v>809</v>
      </c>
      <c r="AF6" s="752" t="s">
        <v>810</v>
      </c>
    </row>
    <row r="7" spans="1:33" ht="63.75">
      <c r="A7" s="753"/>
      <c r="B7" s="754" t="s">
        <v>718</v>
      </c>
      <c r="C7" s="754" t="s">
        <v>719</v>
      </c>
      <c r="D7" s="754" t="s">
        <v>294</v>
      </c>
      <c r="E7" s="754" t="s">
        <v>741</v>
      </c>
      <c r="F7" s="755" t="s">
        <v>811</v>
      </c>
      <c r="G7" s="754" t="s">
        <v>812</v>
      </c>
      <c r="H7" s="754" t="s">
        <v>813</v>
      </c>
      <c r="I7" s="754" t="s">
        <v>814</v>
      </c>
      <c r="J7" s="754" t="s">
        <v>815</v>
      </c>
      <c r="K7" s="754" t="s">
        <v>816</v>
      </c>
      <c r="L7" s="754" t="s">
        <v>817</v>
      </c>
      <c r="M7" s="754" t="s">
        <v>818</v>
      </c>
      <c r="N7" s="756" t="s">
        <v>819</v>
      </c>
      <c r="O7" s="755" t="s">
        <v>811</v>
      </c>
      <c r="P7" s="754" t="s">
        <v>812</v>
      </c>
      <c r="Q7" s="754" t="s">
        <v>813</v>
      </c>
      <c r="R7" s="754" t="s">
        <v>814</v>
      </c>
      <c r="S7" s="754" t="s">
        <v>815</v>
      </c>
      <c r="T7" s="754" t="s">
        <v>816</v>
      </c>
      <c r="U7" s="754" t="s">
        <v>817</v>
      </c>
      <c r="V7" s="754" t="s">
        <v>818</v>
      </c>
      <c r="W7" s="756" t="s">
        <v>819</v>
      </c>
      <c r="X7" s="755" t="s">
        <v>811</v>
      </c>
      <c r="Y7" s="754" t="s">
        <v>812</v>
      </c>
      <c r="Z7" s="754" t="s">
        <v>813</v>
      </c>
      <c r="AA7" s="754" t="s">
        <v>814</v>
      </c>
      <c r="AB7" s="754" t="s">
        <v>815</v>
      </c>
      <c r="AC7" s="754" t="s">
        <v>816</v>
      </c>
      <c r="AD7" s="754" t="s">
        <v>817</v>
      </c>
      <c r="AE7" s="754" t="s">
        <v>818</v>
      </c>
      <c r="AF7" s="756" t="s">
        <v>819</v>
      </c>
      <c r="AG7" s="745"/>
    </row>
    <row r="8" spans="1:33">
      <c r="A8" s="741" t="s">
        <v>820</v>
      </c>
      <c r="D8" s="745"/>
      <c r="E8" s="745"/>
      <c r="F8" s="757"/>
      <c r="N8" s="758"/>
      <c r="O8" s="757"/>
      <c r="W8" s="758"/>
      <c r="X8" s="757"/>
      <c r="AF8" s="758"/>
      <c r="AG8" s="745"/>
    </row>
    <row r="9" spans="1:33">
      <c r="A9" s="759">
        <v>1</v>
      </c>
      <c r="B9" s="746" t="s">
        <v>821</v>
      </c>
      <c r="C9" s="741" t="s">
        <v>296</v>
      </c>
      <c r="D9" s="760">
        <v>2019</v>
      </c>
      <c r="E9" s="761">
        <f>365/365</f>
        <v>1</v>
      </c>
      <c r="F9" s="762"/>
      <c r="G9" s="763"/>
      <c r="H9" s="763">
        <v>0</v>
      </c>
      <c r="I9" s="763">
        <f>+'6c- ADIT BOY'!E54</f>
        <v>-284221</v>
      </c>
      <c r="J9" s="763"/>
      <c r="K9" s="763"/>
      <c r="L9" s="763"/>
      <c r="M9" s="763"/>
      <c r="N9" s="764">
        <v>0</v>
      </c>
      <c r="O9" s="762"/>
      <c r="P9" s="763"/>
      <c r="Q9" s="763">
        <f>'6c- ADIT BOY'!F54</f>
        <v>0</v>
      </c>
      <c r="R9" s="763"/>
      <c r="S9" s="763"/>
      <c r="T9" s="763"/>
      <c r="U9" s="763"/>
      <c r="V9" s="763"/>
      <c r="W9" s="764">
        <v>0</v>
      </c>
      <c r="X9" s="762"/>
      <c r="Y9" s="763"/>
      <c r="Z9" s="763">
        <f>'6c- ADIT BOY'!G54</f>
        <v>0</v>
      </c>
      <c r="AA9" s="763"/>
      <c r="AB9" s="763"/>
      <c r="AC9" s="763"/>
      <c r="AD9" s="763"/>
      <c r="AE9" s="763"/>
      <c r="AF9" s="764">
        <v>0</v>
      </c>
    </row>
    <row r="10" spans="1:33">
      <c r="A10" s="759">
        <f t="shared" ref="A10:A22" si="0">+A9+1</f>
        <v>2</v>
      </c>
      <c r="B10" s="746" t="s">
        <v>748</v>
      </c>
      <c r="C10" s="741" t="s">
        <v>298</v>
      </c>
      <c r="D10" s="760">
        <v>2020</v>
      </c>
      <c r="E10" s="761">
        <f>335/365</f>
        <v>0.9178082191780822</v>
      </c>
      <c r="F10" s="762">
        <f>'6b-ADIT Projection Proration'!G10</f>
        <v>-26292.25</v>
      </c>
      <c r="G10" s="763">
        <f>$E10*F10</f>
        <v>-24131.243150684932</v>
      </c>
      <c r="H10" s="763">
        <f>+G10+H9</f>
        <v>-24131.243150684932</v>
      </c>
      <c r="I10" s="765">
        <f>-315507/12</f>
        <v>-26292.25</v>
      </c>
      <c r="J10" s="763">
        <f t="shared" ref="J10:J21" si="1">I10-F10</f>
        <v>0</v>
      </c>
      <c r="K10" s="766">
        <f t="shared" ref="K10:K12" si="2">IF(J10&gt;=0,+J10*0.5,0)</f>
        <v>0</v>
      </c>
      <c r="L10" s="763">
        <f t="shared" ref="L10:L12" si="3">IF(K10&gt;0,0,IF(I10&lt;0,0,(-(J10)*0.5)))</f>
        <v>0</v>
      </c>
      <c r="M10" s="763">
        <f t="shared" ref="M10:M14" si="4">IF(K10&gt;0,0,IF(I10&gt;0,0,(-(J10)*0.5)))</f>
        <v>0</v>
      </c>
      <c r="N10" s="767">
        <f>+N9+G10+K10-L10-M10</f>
        <v>-24131.243150684932</v>
      </c>
      <c r="O10" s="762">
        <f>'6b-ADIT Projection Proration'!I10</f>
        <v>0</v>
      </c>
      <c r="P10" s="763">
        <f t="shared" ref="P10:P21" si="5">$E10*O10</f>
        <v>0</v>
      </c>
      <c r="Q10" s="763">
        <f>+P10+Q9</f>
        <v>0</v>
      </c>
      <c r="R10" s="765">
        <v>0</v>
      </c>
      <c r="S10" s="763">
        <f t="shared" ref="S10:S21" si="6">R10-O10</f>
        <v>0</v>
      </c>
      <c r="T10" s="766">
        <f>IF(S10&gt;=0,+S10*E10,0)</f>
        <v>0</v>
      </c>
      <c r="U10" s="763">
        <f t="shared" ref="U10:U21" si="7">IF(T10&gt;0,0,IF(R10&lt;0,0,(-(S10)*($E10))))</f>
        <v>0</v>
      </c>
      <c r="V10" s="763">
        <f t="shared" ref="V10:V21" si="8">IF(T10&gt;0,0,IF(R10&gt;0,0,(-(S10)*($E10))))</f>
        <v>0</v>
      </c>
      <c r="W10" s="767">
        <f>+W9+P10+T10-U10-V10</f>
        <v>0</v>
      </c>
      <c r="X10" s="762">
        <f>'6b-ADIT Projection Proration'!K10</f>
        <v>0</v>
      </c>
      <c r="Y10" s="763">
        <f t="shared" ref="Y10:Y21" si="9">$E10*X10</f>
        <v>0</v>
      </c>
      <c r="Z10" s="763">
        <f>+Y10+Z9</f>
        <v>0</v>
      </c>
      <c r="AA10" s="765">
        <v>0</v>
      </c>
      <c r="AB10" s="763">
        <f t="shared" ref="AB10:AB21" si="10">AA10-X10</f>
        <v>0</v>
      </c>
      <c r="AC10" s="766">
        <f>IF(AB10&gt;=0,+AB10*E10,0)</f>
        <v>0</v>
      </c>
      <c r="AD10" s="763">
        <f t="shared" ref="AD10:AD21" si="11">IF(AC10&gt;0,0,IF(AA10&lt;0,0,(-(AB10)*($E10))))</f>
        <v>0</v>
      </c>
      <c r="AE10" s="763">
        <f t="shared" ref="AE10:AE21" si="12">IF(AC10&gt;0,0,IF(AA10&gt;0,0,(-(AB10)*($E10))))</f>
        <v>0</v>
      </c>
      <c r="AF10" s="767">
        <f t="shared" ref="AF10:AF12" si="13">+AF9+Y10+AC10-AD10-AE10</f>
        <v>0</v>
      </c>
    </row>
    <row r="11" spans="1:33">
      <c r="A11" s="759">
        <f t="shared" si="0"/>
        <v>3</v>
      </c>
      <c r="B11" s="746" t="s">
        <v>748</v>
      </c>
      <c r="C11" s="741" t="s">
        <v>300</v>
      </c>
      <c r="D11" s="760">
        <f>+D10</f>
        <v>2020</v>
      </c>
      <c r="E11" s="761">
        <f>307/365</f>
        <v>0.84109589041095889</v>
      </c>
      <c r="F11" s="762">
        <f>'6b-ADIT Projection Proration'!G11</f>
        <v>-26292.25</v>
      </c>
      <c r="G11" s="763">
        <f t="shared" ref="G11:G21" si="14">$E11*F11</f>
        <v>-22114.303424657533</v>
      </c>
      <c r="H11" s="763">
        <f t="shared" ref="H11:H21" si="15">+G11+H10</f>
        <v>-46245.546575342465</v>
      </c>
      <c r="I11" s="765">
        <f t="shared" ref="I11:I21" si="16">-315507/12</f>
        <v>-26292.25</v>
      </c>
      <c r="J11" s="763">
        <f t="shared" si="1"/>
        <v>0</v>
      </c>
      <c r="K11" s="766">
        <f t="shared" si="2"/>
        <v>0</v>
      </c>
      <c r="L11" s="763">
        <f t="shared" si="3"/>
        <v>0</v>
      </c>
      <c r="M11" s="763">
        <f t="shared" si="4"/>
        <v>0</v>
      </c>
      <c r="N11" s="767">
        <f>+N10+G11+K11-L11-M11</f>
        <v>-46245.546575342465</v>
      </c>
      <c r="O11" s="762">
        <f>'6b-ADIT Projection Proration'!I11</f>
        <v>0</v>
      </c>
      <c r="P11" s="763">
        <f t="shared" si="5"/>
        <v>0</v>
      </c>
      <c r="Q11" s="763">
        <f t="shared" ref="Q11:Q21" si="17">+P11+Q10</f>
        <v>0</v>
      </c>
      <c r="R11" s="765">
        <v>0</v>
      </c>
      <c r="S11" s="763">
        <f t="shared" si="6"/>
        <v>0</v>
      </c>
      <c r="T11" s="766">
        <f t="shared" ref="T11:T21" si="18">IF(S11&gt;=0,+S11*E11,0)</f>
        <v>0</v>
      </c>
      <c r="U11" s="763">
        <f t="shared" si="7"/>
        <v>0</v>
      </c>
      <c r="V11" s="763">
        <f t="shared" si="8"/>
        <v>0</v>
      </c>
      <c r="W11" s="767">
        <f t="shared" ref="W11:W12" si="19">+W10+P11+T11-U11-V11</f>
        <v>0</v>
      </c>
      <c r="X11" s="762">
        <f>'6b-ADIT Projection Proration'!K11</f>
        <v>0</v>
      </c>
      <c r="Y11" s="763">
        <f t="shared" si="9"/>
        <v>0</v>
      </c>
      <c r="Z11" s="763">
        <f t="shared" ref="Z11:Z21" si="20">+Y11+Z10</f>
        <v>0</v>
      </c>
      <c r="AA11" s="765">
        <v>0</v>
      </c>
      <c r="AB11" s="763">
        <f t="shared" si="10"/>
        <v>0</v>
      </c>
      <c r="AC11" s="766">
        <f t="shared" ref="AC11:AC21" si="21">IF(AB11&gt;=0,+AB11*E11,0)</f>
        <v>0</v>
      </c>
      <c r="AD11" s="763">
        <f t="shared" si="11"/>
        <v>0</v>
      </c>
      <c r="AE11" s="763">
        <f t="shared" si="12"/>
        <v>0</v>
      </c>
      <c r="AF11" s="767">
        <f t="shared" si="13"/>
        <v>0</v>
      </c>
    </row>
    <row r="12" spans="1:33">
      <c r="A12" s="759">
        <f t="shared" si="0"/>
        <v>4</v>
      </c>
      <c r="B12" s="746" t="s">
        <v>748</v>
      </c>
      <c r="C12" s="741" t="s">
        <v>301</v>
      </c>
      <c r="D12" s="760">
        <f t="shared" ref="D12:D21" si="22">+D11</f>
        <v>2020</v>
      </c>
      <c r="E12" s="761">
        <f>276/365</f>
        <v>0.75616438356164384</v>
      </c>
      <c r="F12" s="762">
        <f>'6b-ADIT Projection Proration'!G12</f>
        <v>-26292.25</v>
      </c>
      <c r="G12" s="763">
        <f t="shared" si="14"/>
        <v>-19881.26301369863</v>
      </c>
      <c r="H12" s="763">
        <f t="shared" si="15"/>
        <v>-66126.809589041091</v>
      </c>
      <c r="I12" s="765">
        <f t="shared" si="16"/>
        <v>-26292.25</v>
      </c>
      <c r="J12" s="763">
        <f t="shared" si="1"/>
        <v>0</v>
      </c>
      <c r="K12" s="766">
        <f t="shared" si="2"/>
        <v>0</v>
      </c>
      <c r="L12" s="763">
        <f t="shared" si="3"/>
        <v>0</v>
      </c>
      <c r="M12" s="763">
        <f t="shared" si="4"/>
        <v>0</v>
      </c>
      <c r="N12" s="767">
        <f t="shared" ref="N12" si="23">+N11+G12+K12-L12-M12</f>
        <v>-66126.809589041091</v>
      </c>
      <c r="O12" s="762">
        <f>'6b-ADIT Projection Proration'!I12</f>
        <v>0</v>
      </c>
      <c r="P12" s="763">
        <f t="shared" si="5"/>
        <v>0</v>
      </c>
      <c r="Q12" s="763">
        <f t="shared" si="17"/>
        <v>0</v>
      </c>
      <c r="R12" s="765">
        <v>0</v>
      </c>
      <c r="S12" s="763">
        <f t="shared" si="6"/>
        <v>0</v>
      </c>
      <c r="T12" s="766">
        <f t="shared" si="18"/>
        <v>0</v>
      </c>
      <c r="U12" s="763">
        <f t="shared" si="7"/>
        <v>0</v>
      </c>
      <c r="V12" s="763">
        <f t="shared" si="8"/>
        <v>0</v>
      </c>
      <c r="W12" s="767">
        <f t="shared" si="19"/>
        <v>0</v>
      </c>
      <c r="X12" s="762">
        <f>'6b-ADIT Projection Proration'!K12</f>
        <v>0</v>
      </c>
      <c r="Y12" s="763">
        <f t="shared" si="9"/>
        <v>0</v>
      </c>
      <c r="Z12" s="763">
        <f t="shared" si="20"/>
        <v>0</v>
      </c>
      <c r="AA12" s="765">
        <v>0</v>
      </c>
      <c r="AB12" s="763">
        <f t="shared" si="10"/>
        <v>0</v>
      </c>
      <c r="AC12" s="766">
        <f t="shared" si="21"/>
        <v>0</v>
      </c>
      <c r="AD12" s="763">
        <f t="shared" si="11"/>
        <v>0</v>
      </c>
      <c r="AE12" s="763">
        <f t="shared" si="12"/>
        <v>0</v>
      </c>
      <c r="AF12" s="767">
        <f t="shared" si="13"/>
        <v>0</v>
      </c>
    </row>
    <row r="13" spans="1:33">
      <c r="A13" s="759">
        <f t="shared" si="0"/>
        <v>5</v>
      </c>
      <c r="B13" s="746" t="s">
        <v>748</v>
      </c>
      <c r="C13" s="741" t="s">
        <v>302</v>
      </c>
      <c r="D13" s="760">
        <f t="shared" si="22"/>
        <v>2020</v>
      </c>
      <c r="E13" s="761">
        <f>246/365</f>
        <v>0.67397260273972603</v>
      </c>
      <c r="F13" s="762">
        <f>'6b-ADIT Projection Proration'!G13</f>
        <v>-26292.25</v>
      </c>
      <c r="G13" s="763">
        <f t="shared" si="14"/>
        <v>-17720.256164383562</v>
      </c>
      <c r="H13" s="763">
        <f t="shared" si="15"/>
        <v>-83847.065753424657</v>
      </c>
      <c r="I13" s="765">
        <f t="shared" si="16"/>
        <v>-26292.25</v>
      </c>
      <c r="J13" s="763">
        <f>I13-F13</f>
        <v>0</v>
      </c>
      <c r="K13" s="766">
        <f>IF(J13&gt;=0,+J13*0.5,0)</f>
        <v>0</v>
      </c>
      <c r="L13" s="763">
        <f>IF(K13&gt;0,0,IF(I13&lt;0,0,(-(J13)*0.5)))</f>
        <v>0</v>
      </c>
      <c r="M13" s="763">
        <f t="shared" si="4"/>
        <v>0</v>
      </c>
      <c r="N13" s="767">
        <f>+N12+G13+K13-L13-M13</f>
        <v>-83847.065753424657</v>
      </c>
      <c r="O13" s="762">
        <f>'6b-ADIT Projection Proration'!I13</f>
        <v>0</v>
      </c>
      <c r="P13" s="763">
        <f>$E13*O13</f>
        <v>0</v>
      </c>
      <c r="Q13" s="763">
        <f t="shared" si="17"/>
        <v>0</v>
      </c>
      <c r="R13" s="765">
        <v>0</v>
      </c>
      <c r="S13" s="763">
        <f t="shared" si="6"/>
        <v>0</v>
      </c>
      <c r="T13" s="766">
        <f t="shared" si="18"/>
        <v>0</v>
      </c>
      <c r="U13" s="763">
        <f t="shared" si="7"/>
        <v>0</v>
      </c>
      <c r="V13" s="763">
        <f t="shared" si="8"/>
        <v>0</v>
      </c>
      <c r="W13" s="767">
        <f>+W12+P13+T13-U13-V13</f>
        <v>0</v>
      </c>
      <c r="X13" s="762">
        <f>'6b-ADIT Projection Proration'!K13</f>
        <v>0</v>
      </c>
      <c r="Y13" s="763">
        <f t="shared" si="9"/>
        <v>0</v>
      </c>
      <c r="Z13" s="763">
        <f t="shared" si="20"/>
        <v>0</v>
      </c>
      <c r="AA13" s="765">
        <v>0</v>
      </c>
      <c r="AB13" s="763">
        <f t="shared" si="10"/>
        <v>0</v>
      </c>
      <c r="AC13" s="766">
        <f t="shared" si="21"/>
        <v>0</v>
      </c>
      <c r="AD13" s="763">
        <f t="shared" si="11"/>
        <v>0</v>
      </c>
      <c r="AE13" s="763">
        <f t="shared" si="12"/>
        <v>0</v>
      </c>
      <c r="AF13" s="767">
        <f>+AF12+Y13+AC13-AD13-AE13</f>
        <v>0</v>
      </c>
    </row>
    <row r="14" spans="1:33">
      <c r="A14" s="759">
        <f t="shared" si="0"/>
        <v>6</v>
      </c>
      <c r="B14" s="746" t="s">
        <v>748</v>
      </c>
      <c r="C14" s="741" t="s">
        <v>303</v>
      </c>
      <c r="D14" s="760">
        <f t="shared" si="22"/>
        <v>2020</v>
      </c>
      <c r="E14" s="761">
        <f>215/365</f>
        <v>0.58904109589041098</v>
      </c>
      <c r="F14" s="762">
        <f>'6b-ADIT Projection Proration'!G14</f>
        <v>-26292.25</v>
      </c>
      <c r="G14" s="763">
        <f t="shared" si="14"/>
        <v>-15487.215753424658</v>
      </c>
      <c r="H14" s="763">
        <f t="shared" si="15"/>
        <v>-99334.281506849307</v>
      </c>
      <c r="I14" s="765">
        <f t="shared" si="16"/>
        <v>-26292.25</v>
      </c>
      <c r="J14" s="763">
        <f t="shared" si="1"/>
        <v>0</v>
      </c>
      <c r="K14" s="766">
        <f t="shared" ref="K14:K21" si="24">IF(J14&gt;=0,+J14*0.5,0)</f>
        <v>0</v>
      </c>
      <c r="L14" s="763">
        <f t="shared" ref="L14:L21" si="25">IF(K14&gt;0,0,IF(I14&lt;0,0,(-(J14)*0.5)))</f>
        <v>0</v>
      </c>
      <c r="M14" s="763">
        <f t="shared" si="4"/>
        <v>0</v>
      </c>
      <c r="N14" s="767">
        <f>+N13+G14+K14-L14-M14</f>
        <v>-99334.281506849307</v>
      </c>
      <c r="O14" s="762">
        <f>'6b-ADIT Projection Proration'!I14</f>
        <v>0</v>
      </c>
      <c r="P14" s="763">
        <f t="shared" si="5"/>
        <v>0</v>
      </c>
      <c r="Q14" s="763">
        <f t="shared" si="17"/>
        <v>0</v>
      </c>
      <c r="R14" s="765">
        <v>0</v>
      </c>
      <c r="S14" s="763">
        <f t="shared" si="6"/>
        <v>0</v>
      </c>
      <c r="T14" s="766">
        <f t="shared" si="18"/>
        <v>0</v>
      </c>
      <c r="U14" s="763">
        <f t="shared" si="7"/>
        <v>0</v>
      </c>
      <c r="V14" s="763">
        <f t="shared" si="8"/>
        <v>0</v>
      </c>
      <c r="W14" s="767">
        <f>+W13+P14+T14-U14-V14</f>
        <v>0</v>
      </c>
      <c r="X14" s="762">
        <f>'6b-ADIT Projection Proration'!K14</f>
        <v>0</v>
      </c>
      <c r="Y14" s="763">
        <f t="shared" si="9"/>
        <v>0</v>
      </c>
      <c r="Z14" s="763">
        <f t="shared" si="20"/>
        <v>0</v>
      </c>
      <c r="AA14" s="765">
        <v>0</v>
      </c>
      <c r="AB14" s="763">
        <f t="shared" si="10"/>
        <v>0</v>
      </c>
      <c r="AC14" s="766">
        <f t="shared" si="21"/>
        <v>0</v>
      </c>
      <c r="AD14" s="763">
        <f t="shared" si="11"/>
        <v>0</v>
      </c>
      <c r="AE14" s="763">
        <f t="shared" si="12"/>
        <v>0</v>
      </c>
      <c r="AF14" s="767">
        <f t="shared" ref="AF14:AF21" si="26">+AF13+Y14+AC14-AD14-AE14</f>
        <v>0</v>
      </c>
    </row>
    <row r="15" spans="1:33">
      <c r="A15" s="759">
        <f t="shared" si="0"/>
        <v>7</v>
      </c>
      <c r="B15" s="746" t="s">
        <v>748</v>
      </c>
      <c r="C15" s="741" t="s">
        <v>469</v>
      </c>
      <c r="D15" s="760">
        <f t="shared" si="22"/>
        <v>2020</v>
      </c>
      <c r="E15" s="761">
        <f>185/365</f>
        <v>0.50684931506849318</v>
      </c>
      <c r="F15" s="762">
        <f>'6b-ADIT Projection Proration'!G15</f>
        <v>-26292.25</v>
      </c>
      <c r="G15" s="763">
        <f>$E15*F15</f>
        <v>-13326.20890410959</v>
      </c>
      <c r="H15" s="763">
        <f t="shared" si="15"/>
        <v>-112660.4904109589</v>
      </c>
      <c r="I15" s="765">
        <f t="shared" si="16"/>
        <v>-26292.25</v>
      </c>
      <c r="J15" s="763">
        <f>I15-F15</f>
        <v>0</v>
      </c>
      <c r="K15" s="766">
        <f t="shared" si="24"/>
        <v>0</v>
      </c>
      <c r="L15" s="763">
        <f t="shared" si="25"/>
        <v>0</v>
      </c>
      <c r="M15" s="763">
        <f>IF(K15&gt;0,0,IF(I15&gt;0,0,(-(J15)*0.5)))</f>
        <v>0</v>
      </c>
      <c r="N15" s="767">
        <f>+N14+G15+K15-L15-M15</f>
        <v>-112660.4904109589</v>
      </c>
      <c r="O15" s="762">
        <f>'6b-ADIT Projection Proration'!I15</f>
        <v>0</v>
      </c>
      <c r="P15" s="763">
        <f t="shared" si="5"/>
        <v>0</v>
      </c>
      <c r="Q15" s="763">
        <f t="shared" si="17"/>
        <v>0</v>
      </c>
      <c r="R15" s="765">
        <v>0</v>
      </c>
      <c r="S15" s="763">
        <f t="shared" si="6"/>
        <v>0</v>
      </c>
      <c r="T15" s="766">
        <f t="shared" si="18"/>
        <v>0</v>
      </c>
      <c r="U15" s="763">
        <f t="shared" si="7"/>
        <v>0</v>
      </c>
      <c r="V15" s="763">
        <f t="shared" si="8"/>
        <v>0</v>
      </c>
      <c r="W15" s="767">
        <f t="shared" ref="W15:W21" si="27">+W14+P15+T15-U15-V15</f>
        <v>0</v>
      </c>
      <c r="X15" s="762">
        <f>'6b-ADIT Projection Proration'!K15</f>
        <v>0</v>
      </c>
      <c r="Y15" s="763">
        <f t="shared" si="9"/>
        <v>0</v>
      </c>
      <c r="Z15" s="763">
        <f t="shared" si="20"/>
        <v>0</v>
      </c>
      <c r="AA15" s="765">
        <v>0</v>
      </c>
      <c r="AB15" s="763">
        <f t="shared" si="10"/>
        <v>0</v>
      </c>
      <c r="AC15" s="766">
        <f t="shared" si="21"/>
        <v>0</v>
      </c>
      <c r="AD15" s="763">
        <f t="shared" si="11"/>
        <v>0</v>
      </c>
      <c r="AE15" s="763">
        <f t="shared" si="12"/>
        <v>0</v>
      </c>
      <c r="AF15" s="767">
        <f t="shared" si="26"/>
        <v>0</v>
      </c>
    </row>
    <row r="16" spans="1:33">
      <c r="A16" s="759">
        <f t="shared" si="0"/>
        <v>8</v>
      </c>
      <c r="B16" s="746" t="s">
        <v>748</v>
      </c>
      <c r="C16" s="741" t="s">
        <v>305</v>
      </c>
      <c r="D16" s="760">
        <f t="shared" si="22"/>
        <v>2020</v>
      </c>
      <c r="E16" s="761">
        <f>154/365</f>
        <v>0.42191780821917807</v>
      </c>
      <c r="F16" s="762">
        <f>'6b-ADIT Projection Proration'!G16</f>
        <v>-26292.25</v>
      </c>
      <c r="G16" s="763">
        <f t="shared" si="14"/>
        <v>-11093.168493150684</v>
      </c>
      <c r="H16" s="763">
        <f t="shared" si="15"/>
        <v>-123753.65890410959</v>
      </c>
      <c r="I16" s="765">
        <f t="shared" si="16"/>
        <v>-26292.25</v>
      </c>
      <c r="J16" s="763">
        <f t="shared" si="1"/>
        <v>0</v>
      </c>
      <c r="K16" s="766">
        <f t="shared" si="24"/>
        <v>0</v>
      </c>
      <c r="L16" s="763">
        <f t="shared" si="25"/>
        <v>0</v>
      </c>
      <c r="M16" s="763">
        <f t="shared" ref="M16:M21" si="28">IF(K16&gt;0,0,IF(I16&gt;0,0,(-(J16)*0.5)))</f>
        <v>0</v>
      </c>
      <c r="N16" s="767">
        <f t="shared" ref="N16:N21" si="29">+N15+G16+K16-L16-M16</f>
        <v>-123753.65890410959</v>
      </c>
      <c r="O16" s="762">
        <f>'6b-ADIT Projection Proration'!I16</f>
        <v>0</v>
      </c>
      <c r="P16" s="763">
        <f t="shared" si="5"/>
        <v>0</v>
      </c>
      <c r="Q16" s="763">
        <f t="shared" si="17"/>
        <v>0</v>
      </c>
      <c r="R16" s="765">
        <v>0</v>
      </c>
      <c r="S16" s="763">
        <f t="shared" si="6"/>
        <v>0</v>
      </c>
      <c r="T16" s="766">
        <f t="shared" si="18"/>
        <v>0</v>
      </c>
      <c r="U16" s="763">
        <f t="shared" si="7"/>
        <v>0</v>
      </c>
      <c r="V16" s="763">
        <f t="shared" si="8"/>
        <v>0</v>
      </c>
      <c r="W16" s="767">
        <f t="shared" si="27"/>
        <v>0</v>
      </c>
      <c r="X16" s="762">
        <f>'6b-ADIT Projection Proration'!K16</f>
        <v>0</v>
      </c>
      <c r="Y16" s="763">
        <f t="shared" si="9"/>
        <v>0</v>
      </c>
      <c r="Z16" s="763">
        <f t="shared" si="20"/>
        <v>0</v>
      </c>
      <c r="AA16" s="765">
        <v>0</v>
      </c>
      <c r="AB16" s="763">
        <f t="shared" si="10"/>
        <v>0</v>
      </c>
      <c r="AC16" s="766">
        <f t="shared" si="21"/>
        <v>0</v>
      </c>
      <c r="AD16" s="763">
        <f t="shared" si="11"/>
        <v>0</v>
      </c>
      <c r="AE16" s="763">
        <f t="shared" si="12"/>
        <v>0</v>
      </c>
      <c r="AF16" s="767">
        <f t="shared" si="26"/>
        <v>0</v>
      </c>
    </row>
    <row r="17" spans="1:33">
      <c r="A17" s="759">
        <f t="shared" si="0"/>
        <v>9</v>
      </c>
      <c r="B17" s="746" t="s">
        <v>748</v>
      </c>
      <c r="C17" s="741" t="s">
        <v>306</v>
      </c>
      <c r="D17" s="760">
        <f t="shared" si="22"/>
        <v>2020</v>
      </c>
      <c r="E17" s="761">
        <f>123/365</f>
        <v>0.33698630136986302</v>
      </c>
      <c r="F17" s="762">
        <f>'6b-ADIT Projection Proration'!G17</f>
        <v>-26292.25</v>
      </c>
      <c r="G17" s="763">
        <f t="shared" si="14"/>
        <v>-8860.1280821917808</v>
      </c>
      <c r="H17" s="763">
        <f t="shared" si="15"/>
        <v>-132613.78698630136</v>
      </c>
      <c r="I17" s="765">
        <f t="shared" si="16"/>
        <v>-26292.25</v>
      </c>
      <c r="J17" s="763">
        <f t="shared" si="1"/>
        <v>0</v>
      </c>
      <c r="K17" s="766">
        <f t="shared" si="24"/>
        <v>0</v>
      </c>
      <c r="L17" s="763">
        <f t="shared" si="25"/>
        <v>0</v>
      </c>
      <c r="M17" s="763">
        <f t="shared" si="28"/>
        <v>0</v>
      </c>
      <c r="N17" s="767">
        <f t="shared" si="29"/>
        <v>-132613.78698630136</v>
      </c>
      <c r="O17" s="762">
        <f>'6b-ADIT Projection Proration'!I17</f>
        <v>0</v>
      </c>
      <c r="P17" s="763">
        <f t="shared" si="5"/>
        <v>0</v>
      </c>
      <c r="Q17" s="763">
        <f t="shared" si="17"/>
        <v>0</v>
      </c>
      <c r="R17" s="765">
        <v>0</v>
      </c>
      <c r="S17" s="763">
        <f t="shared" si="6"/>
        <v>0</v>
      </c>
      <c r="T17" s="766">
        <f t="shared" si="18"/>
        <v>0</v>
      </c>
      <c r="U17" s="763">
        <f t="shared" si="7"/>
        <v>0</v>
      </c>
      <c r="V17" s="763">
        <f t="shared" si="8"/>
        <v>0</v>
      </c>
      <c r="W17" s="767">
        <f t="shared" si="27"/>
        <v>0</v>
      </c>
      <c r="X17" s="762">
        <f>'6b-ADIT Projection Proration'!K17</f>
        <v>0</v>
      </c>
      <c r="Y17" s="763">
        <f t="shared" si="9"/>
        <v>0</v>
      </c>
      <c r="Z17" s="763">
        <f t="shared" si="20"/>
        <v>0</v>
      </c>
      <c r="AA17" s="765">
        <v>0</v>
      </c>
      <c r="AB17" s="763">
        <f t="shared" si="10"/>
        <v>0</v>
      </c>
      <c r="AC17" s="766">
        <f t="shared" si="21"/>
        <v>0</v>
      </c>
      <c r="AD17" s="763">
        <f t="shared" si="11"/>
        <v>0</v>
      </c>
      <c r="AE17" s="763">
        <f t="shared" si="12"/>
        <v>0</v>
      </c>
      <c r="AF17" s="767">
        <f t="shared" si="26"/>
        <v>0</v>
      </c>
    </row>
    <row r="18" spans="1:33">
      <c r="A18" s="759">
        <f t="shared" si="0"/>
        <v>10</v>
      </c>
      <c r="B18" s="746" t="s">
        <v>748</v>
      </c>
      <c r="C18" s="741" t="s">
        <v>307</v>
      </c>
      <c r="D18" s="760">
        <f t="shared" si="22"/>
        <v>2020</v>
      </c>
      <c r="E18" s="761">
        <f>93/365</f>
        <v>0.25479452054794521</v>
      </c>
      <c r="F18" s="762">
        <f>'6b-ADIT Projection Proration'!G18</f>
        <v>-26292.25</v>
      </c>
      <c r="G18" s="763">
        <f t="shared" si="14"/>
        <v>-6699.1212328767124</v>
      </c>
      <c r="H18" s="763">
        <f t="shared" si="15"/>
        <v>-139312.90821917806</v>
      </c>
      <c r="I18" s="765">
        <f t="shared" si="16"/>
        <v>-26292.25</v>
      </c>
      <c r="J18" s="763">
        <f t="shared" si="1"/>
        <v>0</v>
      </c>
      <c r="K18" s="766">
        <f t="shared" si="24"/>
        <v>0</v>
      </c>
      <c r="L18" s="763">
        <f t="shared" si="25"/>
        <v>0</v>
      </c>
      <c r="M18" s="763">
        <f t="shared" si="28"/>
        <v>0</v>
      </c>
      <c r="N18" s="767">
        <f t="shared" si="29"/>
        <v>-139312.90821917806</v>
      </c>
      <c r="O18" s="762">
        <f>'6b-ADIT Projection Proration'!I18</f>
        <v>0</v>
      </c>
      <c r="P18" s="763">
        <f t="shared" si="5"/>
        <v>0</v>
      </c>
      <c r="Q18" s="763">
        <f t="shared" si="17"/>
        <v>0</v>
      </c>
      <c r="R18" s="765">
        <v>0</v>
      </c>
      <c r="S18" s="763">
        <f t="shared" si="6"/>
        <v>0</v>
      </c>
      <c r="T18" s="766">
        <f t="shared" si="18"/>
        <v>0</v>
      </c>
      <c r="U18" s="763">
        <f t="shared" si="7"/>
        <v>0</v>
      </c>
      <c r="V18" s="763">
        <f t="shared" si="8"/>
        <v>0</v>
      </c>
      <c r="W18" s="767">
        <f t="shared" si="27"/>
        <v>0</v>
      </c>
      <c r="X18" s="762">
        <f>'6b-ADIT Projection Proration'!K18</f>
        <v>0</v>
      </c>
      <c r="Y18" s="763">
        <f t="shared" si="9"/>
        <v>0</v>
      </c>
      <c r="Z18" s="763">
        <f t="shared" si="20"/>
        <v>0</v>
      </c>
      <c r="AA18" s="765">
        <v>0</v>
      </c>
      <c r="AB18" s="763">
        <f t="shared" si="10"/>
        <v>0</v>
      </c>
      <c r="AC18" s="766">
        <f t="shared" si="21"/>
        <v>0</v>
      </c>
      <c r="AD18" s="763">
        <f t="shared" si="11"/>
        <v>0</v>
      </c>
      <c r="AE18" s="763">
        <f t="shared" si="12"/>
        <v>0</v>
      </c>
      <c r="AF18" s="767">
        <f t="shared" si="26"/>
        <v>0</v>
      </c>
    </row>
    <row r="19" spans="1:33">
      <c r="A19" s="759">
        <f t="shared" si="0"/>
        <v>11</v>
      </c>
      <c r="B19" s="746" t="s">
        <v>748</v>
      </c>
      <c r="C19" s="741" t="s">
        <v>314</v>
      </c>
      <c r="D19" s="760">
        <f t="shared" si="22"/>
        <v>2020</v>
      </c>
      <c r="E19" s="761">
        <f>62/365</f>
        <v>0.16986301369863013</v>
      </c>
      <c r="F19" s="762">
        <f>'6b-ADIT Projection Proration'!G19</f>
        <v>-26292.25</v>
      </c>
      <c r="G19" s="763">
        <f t="shared" si="14"/>
        <v>-4466.080821917808</v>
      </c>
      <c r="H19" s="763">
        <f t="shared" si="15"/>
        <v>-143778.98904109586</v>
      </c>
      <c r="I19" s="765">
        <f t="shared" si="16"/>
        <v>-26292.25</v>
      </c>
      <c r="J19" s="763">
        <f t="shared" si="1"/>
        <v>0</v>
      </c>
      <c r="K19" s="766">
        <f t="shared" si="24"/>
        <v>0</v>
      </c>
      <c r="L19" s="763">
        <f t="shared" si="25"/>
        <v>0</v>
      </c>
      <c r="M19" s="763">
        <f t="shared" si="28"/>
        <v>0</v>
      </c>
      <c r="N19" s="767">
        <f t="shared" si="29"/>
        <v>-143778.98904109586</v>
      </c>
      <c r="O19" s="762">
        <f>'6b-ADIT Projection Proration'!I19</f>
        <v>0</v>
      </c>
      <c r="P19" s="763">
        <f t="shared" si="5"/>
        <v>0</v>
      </c>
      <c r="Q19" s="763">
        <f t="shared" si="17"/>
        <v>0</v>
      </c>
      <c r="R19" s="765">
        <v>0</v>
      </c>
      <c r="S19" s="763">
        <f t="shared" si="6"/>
        <v>0</v>
      </c>
      <c r="T19" s="766">
        <f t="shared" si="18"/>
        <v>0</v>
      </c>
      <c r="U19" s="763">
        <f t="shared" si="7"/>
        <v>0</v>
      </c>
      <c r="V19" s="763">
        <f t="shared" si="8"/>
        <v>0</v>
      </c>
      <c r="W19" s="767">
        <f t="shared" si="27"/>
        <v>0</v>
      </c>
      <c r="X19" s="762">
        <f>'6b-ADIT Projection Proration'!K19</f>
        <v>0</v>
      </c>
      <c r="Y19" s="763">
        <f t="shared" si="9"/>
        <v>0</v>
      </c>
      <c r="Z19" s="763">
        <f t="shared" si="20"/>
        <v>0</v>
      </c>
      <c r="AA19" s="765">
        <v>0</v>
      </c>
      <c r="AB19" s="763">
        <f t="shared" si="10"/>
        <v>0</v>
      </c>
      <c r="AC19" s="766">
        <f t="shared" si="21"/>
        <v>0</v>
      </c>
      <c r="AD19" s="763">
        <f t="shared" si="11"/>
        <v>0</v>
      </c>
      <c r="AE19" s="763">
        <f t="shared" si="12"/>
        <v>0</v>
      </c>
      <c r="AF19" s="767">
        <f t="shared" si="26"/>
        <v>0</v>
      </c>
    </row>
    <row r="20" spans="1:33">
      <c r="A20" s="759">
        <f t="shared" si="0"/>
        <v>12</v>
      </c>
      <c r="B20" s="746" t="s">
        <v>748</v>
      </c>
      <c r="C20" s="741" t="s">
        <v>309</v>
      </c>
      <c r="D20" s="760">
        <f t="shared" si="22"/>
        <v>2020</v>
      </c>
      <c r="E20" s="761">
        <f>32/365</f>
        <v>8.7671232876712329E-2</v>
      </c>
      <c r="F20" s="762">
        <f>'6b-ADIT Projection Proration'!G20</f>
        <v>-26292.25</v>
      </c>
      <c r="G20" s="763">
        <f t="shared" si="14"/>
        <v>-2305.0739726027396</v>
      </c>
      <c r="H20" s="763">
        <f t="shared" si="15"/>
        <v>-146084.06301369861</v>
      </c>
      <c r="I20" s="765">
        <f t="shared" si="16"/>
        <v>-26292.25</v>
      </c>
      <c r="J20" s="763">
        <f t="shared" si="1"/>
        <v>0</v>
      </c>
      <c r="K20" s="766">
        <f t="shared" si="24"/>
        <v>0</v>
      </c>
      <c r="L20" s="763">
        <f t="shared" si="25"/>
        <v>0</v>
      </c>
      <c r="M20" s="763">
        <f t="shared" si="28"/>
        <v>0</v>
      </c>
      <c r="N20" s="767">
        <f t="shared" si="29"/>
        <v>-146084.06301369861</v>
      </c>
      <c r="O20" s="762">
        <f>'6b-ADIT Projection Proration'!I20</f>
        <v>0</v>
      </c>
      <c r="P20" s="763">
        <f t="shared" si="5"/>
        <v>0</v>
      </c>
      <c r="Q20" s="763">
        <f t="shared" si="17"/>
        <v>0</v>
      </c>
      <c r="R20" s="765">
        <v>0</v>
      </c>
      <c r="S20" s="763">
        <f t="shared" si="6"/>
        <v>0</v>
      </c>
      <c r="T20" s="766">
        <f t="shared" si="18"/>
        <v>0</v>
      </c>
      <c r="U20" s="763">
        <f t="shared" si="7"/>
        <v>0</v>
      </c>
      <c r="V20" s="763">
        <f t="shared" si="8"/>
        <v>0</v>
      </c>
      <c r="W20" s="767">
        <f t="shared" si="27"/>
        <v>0</v>
      </c>
      <c r="X20" s="762">
        <f>'6b-ADIT Projection Proration'!K20</f>
        <v>0</v>
      </c>
      <c r="Y20" s="763">
        <f t="shared" si="9"/>
        <v>0</v>
      </c>
      <c r="Z20" s="763">
        <f t="shared" si="20"/>
        <v>0</v>
      </c>
      <c r="AA20" s="765">
        <v>0</v>
      </c>
      <c r="AB20" s="763">
        <f t="shared" si="10"/>
        <v>0</v>
      </c>
      <c r="AC20" s="766">
        <f t="shared" si="21"/>
        <v>0</v>
      </c>
      <c r="AD20" s="763">
        <f t="shared" si="11"/>
        <v>0</v>
      </c>
      <c r="AE20" s="763">
        <f t="shared" si="12"/>
        <v>0</v>
      </c>
      <c r="AF20" s="767">
        <f t="shared" si="26"/>
        <v>0</v>
      </c>
    </row>
    <row r="21" spans="1:33">
      <c r="A21" s="759">
        <f t="shared" si="0"/>
        <v>13</v>
      </c>
      <c r="B21" s="746" t="s">
        <v>748</v>
      </c>
      <c r="C21" s="741" t="s">
        <v>296</v>
      </c>
      <c r="D21" s="760">
        <f t="shared" si="22"/>
        <v>2020</v>
      </c>
      <c r="E21" s="761">
        <f>1/365</f>
        <v>2.7397260273972603E-3</v>
      </c>
      <c r="F21" s="768">
        <f>'6b-ADIT Projection Proration'!G21</f>
        <v>-26292.25</v>
      </c>
      <c r="G21" s="769">
        <f t="shared" si="14"/>
        <v>-72.033561643835611</v>
      </c>
      <c r="H21" s="769">
        <f t="shared" si="15"/>
        <v>-146156.09657534244</v>
      </c>
      <c r="I21" s="765">
        <f t="shared" si="16"/>
        <v>-26292.25</v>
      </c>
      <c r="J21" s="763">
        <f t="shared" si="1"/>
        <v>0</v>
      </c>
      <c r="K21" s="766">
        <f t="shared" si="24"/>
        <v>0</v>
      </c>
      <c r="L21" s="763">
        <f t="shared" si="25"/>
        <v>0</v>
      </c>
      <c r="M21" s="763">
        <f t="shared" si="28"/>
        <v>0</v>
      </c>
      <c r="N21" s="767">
        <f t="shared" si="29"/>
        <v>-146156.09657534244</v>
      </c>
      <c r="O21" s="768">
        <f>'6b-ADIT Projection Proration'!I21</f>
        <v>0</v>
      </c>
      <c r="P21" s="769">
        <f t="shared" si="5"/>
        <v>0</v>
      </c>
      <c r="Q21" s="769">
        <f t="shared" si="17"/>
        <v>0</v>
      </c>
      <c r="R21" s="770">
        <v>0</v>
      </c>
      <c r="S21" s="763">
        <f t="shared" si="6"/>
        <v>0</v>
      </c>
      <c r="T21" s="766">
        <f t="shared" si="18"/>
        <v>0</v>
      </c>
      <c r="U21" s="763">
        <f t="shared" si="7"/>
        <v>0</v>
      </c>
      <c r="V21" s="763">
        <f t="shared" si="8"/>
        <v>0</v>
      </c>
      <c r="W21" s="767">
        <f t="shared" si="27"/>
        <v>0</v>
      </c>
      <c r="X21" s="768">
        <f>'6b-ADIT Projection Proration'!K21</f>
        <v>0</v>
      </c>
      <c r="Y21" s="769">
        <f t="shared" si="9"/>
        <v>0</v>
      </c>
      <c r="Z21" s="769">
        <f t="shared" si="20"/>
        <v>0</v>
      </c>
      <c r="AA21" s="765">
        <v>0</v>
      </c>
      <c r="AB21" s="763">
        <f t="shared" si="10"/>
        <v>0</v>
      </c>
      <c r="AC21" s="766">
        <f t="shared" si="21"/>
        <v>0</v>
      </c>
      <c r="AD21" s="763">
        <f t="shared" si="11"/>
        <v>0</v>
      </c>
      <c r="AE21" s="763">
        <f t="shared" si="12"/>
        <v>0</v>
      </c>
      <c r="AF21" s="767">
        <f t="shared" si="26"/>
        <v>0</v>
      </c>
    </row>
    <row r="22" spans="1:33">
      <c r="A22" s="759">
        <f t="shared" si="0"/>
        <v>14</v>
      </c>
      <c r="B22" s="746" t="s">
        <v>749</v>
      </c>
      <c r="D22" s="771"/>
      <c r="F22" s="762">
        <f>SUM(F9:F21)</f>
        <v>-315507</v>
      </c>
      <c r="G22" s="763">
        <f t="shared" ref="G22:M22" si="30">SUM(G9:G21)</f>
        <v>-146156.09657534244</v>
      </c>
      <c r="H22" s="763"/>
      <c r="I22" s="772">
        <f t="shared" si="30"/>
        <v>-599728</v>
      </c>
      <c r="J22" s="772">
        <f t="shared" si="30"/>
        <v>0</v>
      </c>
      <c r="K22" s="772">
        <f t="shared" si="30"/>
        <v>0</v>
      </c>
      <c r="L22" s="772">
        <f t="shared" si="30"/>
        <v>0</v>
      </c>
      <c r="M22" s="772">
        <f t="shared" si="30"/>
        <v>0</v>
      </c>
      <c r="N22" s="773"/>
      <c r="O22" s="762">
        <f t="shared" ref="O22:P22" si="31">SUM(O9:O21)</f>
        <v>0</v>
      </c>
      <c r="P22" s="763">
        <f t="shared" si="31"/>
        <v>0</v>
      </c>
      <c r="Q22" s="763"/>
      <c r="R22" s="763">
        <f t="shared" ref="R22:V22" si="32">SUM(R9:R21)</f>
        <v>0</v>
      </c>
      <c r="S22" s="772">
        <f t="shared" si="32"/>
        <v>0</v>
      </c>
      <c r="T22" s="772">
        <f t="shared" si="32"/>
        <v>0</v>
      </c>
      <c r="U22" s="772">
        <f t="shared" si="32"/>
        <v>0</v>
      </c>
      <c r="V22" s="772">
        <f t="shared" si="32"/>
        <v>0</v>
      </c>
      <c r="W22" s="773"/>
      <c r="X22" s="762">
        <f t="shared" ref="X22:Y22" si="33">SUM(X9:X21)</f>
        <v>0</v>
      </c>
      <c r="Y22" s="763">
        <f t="shared" si="33"/>
        <v>0</v>
      </c>
      <c r="Z22" s="763"/>
      <c r="AA22" s="772">
        <f t="shared" ref="AA22:AE22" si="34">SUM(AA9:AA21)</f>
        <v>0</v>
      </c>
      <c r="AB22" s="772">
        <f t="shared" si="34"/>
        <v>0</v>
      </c>
      <c r="AC22" s="772">
        <f t="shared" si="34"/>
        <v>0</v>
      </c>
      <c r="AD22" s="772">
        <f t="shared" si="34"/>
        <v>0</v>
      </c>
      <c r="AE22" s="772">
        <f t="shared" si="34"/>
        <v>0</v>
      </c>
      <c r="AF22" s="773"/>
    </row>
    <row r="23" spans="1:33">
      <c r="A23" s="759"/>
      <c r="F23" s="762"/>
      <c r="G23" s="763"/>
      <c r="H23" s="763"/>
      <c r="I23" s="763"/>
      <c r="J23" s="763"/>
      <c r="K23" s="763"/>
      <c r="L23" s="763"/>
      <c r="M23" s="763"/>
      <c r="N23" s="764"/>
      <c r="O23" s="762"/>
      <c r="P23" s="763"/>
      <c r="Q23" s="763"/>
      <c r="R23" s="763"/>
      <c r="S23" s="763"/>
      <c r="T23" s="763"/>
      <c r="U23" s="763"/>
      <c r="V23" s="763"/>
      <c r="W23" s="764"/>
      <c r="X23" s="762"/>
      <c r="Y23" s="763"/>
      <c r="Z23" s="763"/>
      <c r="AA23" s="763"/>
      <c r="AB23" s="763"/>
      <c r="AC23" s="763"/>
      <c r="AD23" s="763"/>
      <c r="AE23" s="763"/>
      <c r="AF23" s="764"/>
    </row>
    <row r="24" spans="1:33">
      <c r="A24" s="741" t="s">
        <v>822</v>
      </c>
      <c r="D24" s="745"/>
      <c r="E24" s="745"/>
      <c r="F24" s="762"/>
      <c r="G24" s="763"/>
      <c r="H24" s="763"/>
      <c r="I24" s="763"/>
      <c r="J24" s="763"/>
      <c r="K24" s="763"/>
      <c r="L24" s="763"/>
      <c r="M24" s="763"/>
      <c r="N24" s="764"/>
      <c r="O24" s="762"/>
      <c r="P24" s="763"/>
      <c r="Q24" s="763"/>
      <c r="R24" s="763"/>
      <c r="S24" s="763"/>
      <c r="T24" s="763"/>
      <c r="U24" s="763"/>
      <c r="V24" s="763"/>
      <c r="W24" s="764"/>
      <c r="X24" s="762"/>
      <c r="Y24" s="763"/>
      <c r="Z24" s="763"/>
      <c r="AA24" s="763"/>
      <c r="AB24" s="763"/>
      <c r="AC24" s="763"/>
      <c r="AD24" s="763"/>
      <c r="AE24" s="763"/>
      <c r="AF24" s="764"/>
      <c r="AG24" s="745"/>
    </row>
    <row r="25" spans="1:33">
      <c r="A25" s="759">
        <f>A22+1</f>
        <v>15</v>
      </c>
      <c r="B25" s="746" t="s">
        <v>823</v>
      </c>
      <c r="C25" s="741" t="s">
        <v>296</v>
      </c>
      <c r="D25" s="760">
        <f>+D9</f>
        <v>2019</v>
      </c>
      <c r="E25" s="761">
        <f>365/365</f>
        <v>1</v>
      </c>
      <c r="F25" s="762"/>
      <c r="G25" s="763"/>
      <c r="H25" s="763">
        <f>'6c- ADIT BOY'!E74</f>
        <v>0</v>
      </c>
      <c r="I25" s="763"/>
      <c r="J25" s="763"/>
      <c r="K25" s="763"/>
      <c r="L25" s="763"/>
      <c r="M25" s="763"/>
      <c r="N25" s="764"/>
      <c r="O25" s="762"/>
      <c r="P25" s="763"/>
      <c r="Q25" s="763">
        <f>'6c- ADIT BOY'!F74</f>
        <v>0</v>
      </c>
      <c r="R25" s="763"/>
      <c r="S25" s="763"/>
      <c r="T25" s="763"/>
      <c r="U25" s="763"/>
      <c r="V25" s="763"/>
      <c r="W25" s="764"/>
      <c r="X25" s="762"/>
      <c r="Y25" s="763"/>
      <c r="Z25" s="763">
        <f>'6c- ADIT BOY'!G74</f>
        <v>0</v>
      </c>
      <c r="AA25" s="763"/>
      <c r="AB25" s="763"/>
      <c r="AC25" s="763"/>
      <c r="AD25" s="763"/>
      <c r="AE25" s="763"/>
      <c r="AF25" s="764"/>
    </row>
    <row r="26" spans="1:33">
      <c r="A26" s="759">
        <f t="shared" ref="A26:A38" si="35">+A25+1</f>
        <v>16</v>
      </c>
      <c r="B26" s="746" t="s">
        <v>748</v>
      </c>
      <c r="C26" s="741" t="s">
        <v>298</v>
      </c>
      <c r="D26" s="760">
        <f t="shared" ref="D26:D37" si="36">+D10</f>
        <v>2020</v>
      </c>
      <c r="E26" s="761">
        <f>335/365</f>
        <v>0.9178082191780822</v>
      </c>
      <c r="F26" s="762">
        <f>'6b-ADIT Projection Proration'!G26</f>
        <v>0</v>
      </c>
      <c r="G26" s="763">
        <f t="shared" ref="G26:G37" si="37">$E26*F26</f>
        <v>0</v>
      </c>
      <c r="H26" s="763">
        <f t="shared" ref="H26:H37" si="38">+G26+H25</f>
        <v>0</v>
      </c>
      <c r="I26" s="765">
        <v>0</v>
      </c>
      <c r="J26" s="763">
        <f t="shared" ref="J26:J37" si="39">I26-F26</f>
        <v>0</v>
      </c>
      <c r="K26" s="766">
        <f t="shared" ref="K26:K28" si="40">IF(J26&gt;=0,+J26*0.5,0)</f>
        <v>0</v>
      </c>
      <c r="L26" s="763">
        <f t="shared" ref="L26:L28" si="41">IF(K26&gt;0,0,IF(I26&lt;0,0,(-(J26)*0.5)))</f>
        <v>0</v>
      </c>
      <c r="M26" s="763">
        <f t="shared" ref="M26:M30" si="42">IF(K26&gt;0,0,IF(I26&gt;0,0,(-(J26)*0.5)))</f>
        <v>0</v>
      </c>
      <c r="N26" s="767">
        <f t="shared" ref="N26:N28" si="43">+N25+G26+K26-L26-M26</f>
        <v>0</v>
      </c>
      <c r="O26" s="762">
        <f>'6b-ADIT Projection Proration'!I26</f>
        <v>0</v>
      </c>
      <c r="P26" s="763">
        <f t="shared" ref="P26:P37" si="44">$E26*O26</f>
        <v>0</v>
      </c>
      <c r="Q26" s="763">
        <f t="shared" ref="Q26:Q37" si="45">+P26+Q25</f>
        <v>0</v>
      </c>
      <c r="R26" s="765">
        <v>0</v>
      </c>
      <c r="S26" s="763">
        <f t="shared" ref="S26:S37" si="46">R26-O26</f>
        <v>0</v>
      </c>
      <c r="T26" s="766">
        <f>IF(S26&gt;=0,+S26*E26,0)</f>
        <v>0</v>
      </c>
      <c r="U26" s="763">
        <f t="shared" ref="U26:U37" si="47">IF(T26&gt;0,0,IF(R26&lt;0,0,(-(S26)*($E26))))</f>
        <v>0</v>
      </c>
      <c r="V26" s="763">
        <f t="shared" ref="V26:V37" si="48">IF(T26&gt;0,0,IF(R26&gt;0,0,(-(S26)*($E26))))</f>
        <v>0</v>
      </c>
      <c r="W26" s="767">
        <f>+W25+P26+T26-U26-V26</f>
        <v>0</v>
      </c>
      <c r="X26" s="762">
        <f>'6b-ADIT Projection Proration'!K26</f>
        <v>0</v>
      </c>
      <c r="Y26" s="763">
        <f t="shared" ref="Y26:Y37" si="49">$E26*X26</f>
        <v>0</v>
      </c>
      <c r="Z26" s="763">
        <f t="shared" ref="Z26:Z37" si="50">+Y26+Z25</f>
        <v>0</v>
      </c>
      <c r="AA26" s="765">
        <v>0</v>
      </c>
      <c r="AB26" s="763">
        <f t="shared" ref="AB26:AB37" si="51">AA26-X26</f>
        <v>0</v>
      </c>
      <c r="AC26" s="766">
        <f>IF(AB26&gt;=0,+AB26*E26,0)</f>
        <v>0</v>
      </c>
      <c r="AD26" s="763">
        <f t="shared" ref="AD26:AD37" si="52">IF(AC26&gt;0,0,IF(AA26&lt;0,0,(-(AB26)*($E26))))</f>
        <v>0</v>
      </c>
      <c r="AE26" s="763">
        <f t="shared" ref="AE26:AE37" si="53">IF(AC26&gt;0,0,IF(AA26&gt;0,0,(-(AB26)*($E26))))</f>
        <v>0</v>
      </c>
      <c r="AF26" s="767">
        <f t="shared" ref="AF26:AF28" si="54">+AF25+Y26+AC26-AD26-AE26</f>
        <v>0</v>
      </c>
    </row>
    <row r="27" spans="1:33">
      <c r="A27" s="759">
        <f t="shared" si="35"/>
        <v>17</v>
      </c>
      <c r="B27" s="746" t="s">
        <v>748</v>
      </c>
      <c r="C27" s="741" t="s">
        <v>300</v>
      </c>
      <c r="D27" s="760">
        <f t="shared" si="36"/>
        <v>2020</v>
      </c>
      <c r="E27" s="761">
        <f>307/365</f>
        <v>0.84109589041095889</v>
      </c>
      <c r="F27" s="762">
        <f>'6b-ADIT Projection Proration'!G27</f>
        <v>0</v>
      </c>
      <c r="G27" s="763">
        <f t="shared" si="37"/>
        <v>0</v>
      </c>
      <c r="H27" s="763">
        <f t="shared" si="38"/>
        <v>0</v>
      </c>
      <c r="I27" s="765">
        <v>0</v>
      </c>
      <c r="J27" s="763">
        <f t="shared" si="39"/>
        <v>0</v>
      </c>
      <c r="K27" s="766">
        <f t="shared" si="40"/>
        <v>0</v>
      </c>
      <c r="L27" s="763">
        <f t="shared" si="41"/>
        <v>0</v>
      </c>
      <c r="M27" s="763">
        <f t="shared" si="42"/>
        <v>0</v>
      </c>
      <c r="N27" s="767">
        <f t="shared" si="43"/>
        <v>0</v>
      </c>
      <c r="O27" s="762">
        <f>'6b-ADIT Projection Proration'!I27</f>
        <v>0</v>
      </c>
      <c r="P27" s="763">
        <f t="shared" si="44"/>
        <v>0</v>
      </c>
      <c r="Q27" s="763">
        <f t="shared" si="45"/>
        <v>0</v>
      </c>
      <c r="R27" s="765">
        <v>0</v>
      </c>
      <c r="S27" s="763">
        <f t="shared" si="46"/>
        <v>0</v>
      </c>
      <c r="T27" s="766">
        <f t="shared" ref="T27:T37" si="55">IF(S27&gt;=0,+S27*E27,0)</f>
        <v>0</v>
      </c>
      <c r="U27" s="763">
        <f t="shared" si="47"/>
        <v>0</v>
      </c>
      <c r="V27" s="763">
        <f t="shared" si="48"/>
        <v>0</v>
      </c>
      <c r="W27" s="767">
        <f t="shared" ref="W27:W28" si="56">+W26+P27+T27-U27-V27</f>
        <v>0</v>
      </c>
      <c r="X27" s="762">
        <f>'6b-ADIT Projection Proration'!K27</f>
        <v>0</v>
      </c>
      <c r="Y27" s="763">
        <f t="shared" si="49"/>
        <v>0</v>
      </c>
      <c r="Z27" s="763">
        <f t="shared" si="50"/>
        <v>0</v>
      </c>
      <c r="AA27" s="765">
        <v>0</v>
      </c>
      <c r="AB27" s="763">
        <f t="shared" si="51"/>
        <v>0</v>
      </c>
      <c r="AC27" s="766">
        <f t="shared" ref="AC27:AC37" si="57">IF(AB27&gt;=0,+AB27*E27,0)</f>
        <v>0</v>
      </c>
      <c r="AD27" s="763">
        <f t="shared" si="52"/>
        <v>0</v>
      </c>
      <c r="AE27" s="763">
        <f t="shared" si="53"/>
        <v>0</v>
      </c>
      <c r="AF27" s="767">
        <f t="shared" si="54"/>
        <v>0</v>
      </c>
    </row>
    <row r="28" spans="1:33">
      <c r="A28" s="759">
        <f t="shared" si="35"/>
        <v>18</v>
      </c>
      <c r="B28" s="746" t="s">
        <v>748</v>
      </c>
      <c r="C28" s="741" t="s">
        <v>301</v>
      </c>
      <c r="D28" s="760">
        <f t="shared" si="36"/>
        <v>2020</v>
      </c>
      <c r="E28" s="761">
        <f>276/365</f>
        <v>0.75616438356164384</v>
      </c>
      <c r="F28" s="762">
        <f>'6b-ADIT Projection Proration'!G28</f>
        <v>0</v>
      </c>
      <c r="G28" s="763">
        <f t="shared" si="37"/>
        <v>0</v>
      </c>
      <c r="H28" s="763">
        <f t="shared" si="38"/>
        <v>0</v>
      </c>
      <c r="I28" s="765">
        <v>0</v>
      </c>
      <c r="J28" s="763">
        <f t="shared" si="39"/>
        <v>0</v>
      </c>
      <c r="K28" s="766">
        <f t="shared" si="40"/>
        <v>0</v>
      </c>
      <c r="L28" s="763">
        <f t="shared" si="41"/>
        <v>0</v>
      </c>
      <c r="M28" s="763">
        <f t="shared" si="42"/>
        <v>0</v>
      </c>
      <c r="N28" s="767">
        <f t="shared" si="43"/>
        <v>0</v>
      </c>
      <c r="O28" s="762">
        <f>'6b-ADIT Projection Proration'!I28</f>
        <v>0</v>
      </c>
      <c r="P28" s="763">
        <f t="shared" si="44"/>
        <v>0</v>
      </c>
      <c r="Q28" s="763">
        <f t="shared" si="45"/>
        <v>0</v>
      </c>
      <c r="R28" s="765">
        <v>0</v>
      </c>
      <c r="S28" s="763">
        <f t="shared" si="46"/>
        <v>0</v>
      </c>
      <c r="T28" s="766">
        <f t="shared" si="55"/>
        <v>0</v>
      </c>
      <c r="U28" s="763">
        <f t="shared" si="47"/>
        <v>0</v>
      </c>
      <c r="V28" s="763">
        <f t="shared" si="48"/>
        <v>0</v>
      </c>
      <c r="W28" s="767">
        <f t="shared" si="56"/>
        <v>0</v>
      </c>
      <c r="X28" s="762">
        <f>'6b-ADIT Projection Proration'!K28</f>
        <v>0</v>
      </c>
      <c r="Y28" s="763">
        <f t="shared" si="49"/>
        <v>0</v>
      </c>
      <c r="Z28" s="763">
        <f t="shared" si="50"/>
        <v>0</v>
      </c>
      <c r="AA28" s="765">
        <v>0</v>
      </c>
      <c r="AB28" s="763">
        <f t="shared" si="51"/>
        <v>0</v>
      </c>
      <c r="AC28" s="766">
        <f t="shared" si="57"/>
        <v>0</v>
      </c>
      <c r="AD28" s="763">
        <f t="shared" si="52"/>
        <v>0</v>
      </c>
      <c r="AE28" s="763">
        <f t="shared" si="53"/>
        <v>0</v>
      </c>
      <c r="AF28" s="767">
        <f t="shared" si="54"/>
        <v>0</v>
      </c>
    </row>
    <row r="29" spans="1:33">
      <c r="A29" s="759">
        <f t="shared" si="35"/>
        <v>19</v>
      </c>
      <c r="B29" s="746" t="s">
        <v>748</v>
      </c>
      <c r="C29" s="741" t="s">
        <v>302</v>
      </c>
      <c r="D29" s="760">
        <f t="shared" si="36"/>
        <v>2020</v>
      </c>
      <c r="E29" s="761">
        <f>246/365</f>
        <v>0.67397260273972603</v>
      </c>
      <c r="F29" s="762">
        <f>'6b-ADIT Projection Proration'!G29</f>
        <v>0</v>
      </c>
      <c r="G29" s="763">
        <f t="shared" si="37"/>
        <v>0</v>
      </c>
      <c r="H29" s="763">
        <f t="shared" si="38"/>
        <v>0</v>
      </c>
      <c r="I29" s="765">
        <v>0</v>
      </c>
      <c r="J29" s="763">
        <f t="shared" si="39"/>
        <v>0</v>
      </c>
      <c r="K29" s="766">
        <f>IF(J29&gt;=0,+J29*0.5,0)</f>
        <v>0</v>
      </c>
      <c r="L29" s="763">
        <f>IF(K29&gt;0,0,IF(I29&lt;0,0,(-(J29)*0.5)))</f>
        <v>0</v>
      </c>
      <c r="M29" s="763">
        <f t="shared" si="42"/>
        <v>0</v>
      </c>
      <c r="N29" s="767">
        <f>+N28+G29+K29-L29-M29</f>
        <v>0</v>
      </c>
      <c r="O29" s="762">
        <f>'6b-ADIT Projection Proration'!I29</f>
        <v>0</v>
      </c>
      <c r="P29" s="763">
        <f t="shared" si="44"/>
        <v>0</v>
      </c>
      <c r="Q29" s="763">
        <f t="shared" si="45"/>
        <v>0</v>
      </c>
      <c r="R29" s="765">
        <v>0</v>
      </c>
      <c r="S29" s="763">
        <f t="shared" si="46"/>
        <v>0</v>
      </c>
      <c r="T29" s="766">
        <f t="shared" si="55"/>
        <v>0</v>
      </c>
      <c r="U29" s="763">
        <f t="shared" si="47"/>
        <v>0</v>
      </c>
      <c r="V29" s="763">
        <f t="shared" si="48"/>
        <v>0</v>
      </c>
      <c r="W29" s="767">
        <f>+W28+P29+T29-U29-V29</f>
        <v>0</v>
      </c>
      <c r="X29" s="762">
        <f>'6b-ADIT Projection Proration'!K29</f>
        <v>0</v>
      </c>
      <c r="Y29" s="763">
        <f t="shared" si="49"/>
        <v>0</v>
      </c>
      <c r="Z29" s="763">
        <f t="shared" si="50"/>
        <v>0</v>
      </c>
      <c r="AA29" s="765">
        <v>0</v>
      </c>
      <c r="AB29" s="763">
        <f t="shared" si="51"/>
        <v>0</v>
      </c>
      <c r="AC29" s="766">
        <f t="shared" si="57"/>
        <v>0</v>
      </c>
      <c r="AD29" s="763">
        <f t="shared" si="52"/>
        <v>0</v>
      </c>
      <c r="AE29" s="763">
        <f t="shared" si="53"/>
        <v>0</v>
      </c>
      <c r="AF29" s="767">
        <f>+AF28+Y29+AC29-AD29-AE29</f>
        <v>0</v>
      </c>
    </row>
    <row r="30" spans="1:33">
      <c r="A30" s="759">
        <f t="shared" si="35"/>
        <v>20</v>
      </c>
      <c r="B30" s="746" t="s">
        <v>748</v>
      </c>
      <c r="C30" s="741" t="s">
        <v>303</v>
      </c>
      <c r="D30" s="760">
        <f t="shared" si="36"/>
        <v>2020</v>
      </c>
      <c r="E30" s="761">
        <f>215/365</f>
        <v>0.58904109589041098</v>
      </c>
      <c r="F30" s="762">
        <f>'6b-ADIT Projection Proration'!G30</f>
        <v>0</v>
      </c>
      <c r="G30" s="763">
        <f t="shared" si="37"/>
        <v>0</v>
      </c>
      <c r="H30" s="763">
        <f t="shared" si="38"/>
        <v>0</v>
      </c>
      <c r="I30" s="765">
        <v>0</v>
      </c>
      <c r="J30" s="763">
        <f t="shared" si="39"/>
        <v>0</v>
      </c>
      <c r="K30" s="766">
        <f t="shared" ref="K30:K37" si="58">IF(J30&gt;=0,+J30*0.5,0)</f>
        <v>0</v>
      </c>
      <c r="L30" s="763">
        <f t="shared" ref="L30:L37" si="59">IF(K30&gt;0,0,IF(I30&lt;0,0,(-(J30)*0.5)))</f>
        <v>0</v>
      </c>
      <c r="M30" s="763">
        <f t="shared" si="42"/>
        <v>0</v>
      </c>
      <c r="N30" s="767">
        <f t="shared" ref="N30:N37" si="60">+N29+G30+K30-L30-M30</f>
        <v>0</v>
      </c>
      <c r="O30" s="762">
        <f>'6b-ADIT Projection Proration'!I30</f>
        <v>0</v>
      </c>
      <c r="P30" s="763">
        <f t="shared" si="44"/>
        <v>0</v>
      </c>
      <c r="Q30" s="763">
        <f t="shared" si="45"/>
        <v>0</v>
      </c>
      <c r="R30" s="765">
        <v>0</v>
      </c>
      <c r="S30" s="763">
        <f t="shared" si="46"/>
        <v>0</v>
      </c>
      <c r="T30" s="766">
        <f t="shared" si="55"/>
        <v>0</v>
      </c>
      <c r="U30" s="763">
        <f t="shared" si="47"/>
        <v>0</v>
      </c>
      <c r="V30" s="763">
        <f t="shared" si="48"/>
        <v>0</v>
      </c>
      <c r="W30" s="767">
        <f t="shared" ref="W30:W37" si="61">+W29+P30+T30-U30-V30</f>
        <v>0</v>
      </c>
      <c r="X30" s="762">
        <f>'6b-ADIT Projection Proration'!K30</f>
        <v>0</v>
      </c>
      <c r="Y30" s="763">
        <f t="shared" si="49"/>
        <v>0</v>
      </c>
      <c r="Z30" s="763">
        <f t="shared" si="50"/>
        <v>0</v>
      </c>
      <c r="AA30" s="765">
        <v>0</v>
      </c>
      <c r="AB30" s="763">
        <f t="shared" si="51"/>
        <v>0</v>
      </c>
      <c r="AC30" s="766">
        <f t="shared" si="57"/>
        <v>0</v>
      </c>
      <c r="AD30" s="763">
        <f t="shared" si="52"/>
        <v>0</v>
      </c>
      <c r="AE30" s="763">
        <f t="shared" si="53"/>
        <v>0</v>
      </c>
      <c r="AF30" s="767">
        <f t="shared" ref="AF30:AF37" si="62">+AF29+Y30+AC30-AD30-AE30</f>
        <v>0</v>
      </c>
    </row>
    <row r="31" spans="1:33">
      <c r="A31" s="759">
        <f t="shared" si="35"/>
        <v>21</v>
      </c>
      <c r="B31" s="746" t="s">
        <v>748</v>
      </c>
      <c r="C31" s="741" t="s">
        <v>469</v>
      </c>
      <c r="D31" s="760">
        <f t="shared" si="36"/>
        <v>2020</v>
      </c>
      <c r="E31" s="761">
        <f>185/365</f>
        <v>0.50684931506849318</v>
      </c>
      <c r="F31" s="762">
        <f>'6b-ADIT Projection Proration'!G31</f>
        <v>0</v>
      </c>
      <c r="G31" s="763">
        <f t="shared" si="37"/>
        <v>0</v>
      </c>
      <c r="H31" s="763">
        <f t="shared" si="38"/>
        <v>0</v>
      </c>
      <c r="I31" s="765">
        <v>0</v>
      </c>
      <c r="J31" s="763">
        <f t="shared" si="39"/>
        <v>0</v>
      </c>
      <c r="K31" s="766">
        <f t="shared" si="58"/>
        <v>0</v>
      </c>
      <c r="L31" s="763">
        <f t="shared" si="59"/>
        <v>0</v>
      </c>
      <c r="M31" s="763">
        <f>IF(K31&gt;0,0,IF(I31&gt;0,0,(-(J31)*0.5)))</f>
        <v>0</v>
      </c>
      <c r="N31" s="767">
        <f t="shared" si="60"/>
        <v>0</v>
      </c>
      <c r="O31" s="762">
        <f>'6b-ADIT Projection Proration'!I31</f>
        <v>0</v>
      </c>
      <c r="P31" s="763">
        <f t="shared" si="44"/>
        <v>0</v>
      </c>
      <c r="Q31" s="763">
        <f t="shared" si="45"/>
        <v>0</v>
      </c>
      <c r="R31" s="765">
        <v>0</v>
      </c>
      <c r="S31" s="763">
        <f t="shared" si="46"/>
        <v>0</v>
      </c>
      <c r="T31" s="766">
        <f t="shared" si="55"/>
        <v>0</v>
      </c>
      <c r="U31" s="763">
        <f t="shared" si="47"/>
        <v>0</v>
      </c>
      <c r="V31" s="763">
        <f t="shared" si="48"/>
        <v>0</v>
      </c>
      <c r="W31" s="767">
        <f t="shared" si="61"/>
        <v>0</v>
      </c>
      <c r="X31" s="762">
        <f>'6b-ADIT Projection Proration'!K31</f>
        <v>0</v>
      </c>
      <c r="Y31" s="763">
        <f t="shared" si="49"/>
        <v>0</v>
      </c>
      <c r="Z31" s="763">
        <f t="shared" si="50"/>
        <v>0</v>
      </c>
      <c r="AA31" s="765">
        <v>0</v>
      </c>
      <c r="AB31" s="763">
        <f t="shared" si="51"/>
        <v>0</v>
      </c>
      <c r="AC31" s="766">
        <f t="shared" si="57"/>
        <v>0</v>
      </c>
      <c r="AD31" s="763">
        <f t="shared" si="52"/>
        <v>0</v>
      </c>
      <c r="AE31" s="763">
        <f t="shared" si="53"/>
        <v>0</v>
      </c>
      <c r="AF31" s="767">
        <f t="shared" si="62"/>
        <v>0</v>
      </c>
    </row>
    <row r="32" spans="1:33">
      <c r="A32" s="759">
        <f t="shared" si="35"/>
        <v>22</v>
      </c>
      <c r="B32" s="746" t="s">
        <v>748</v>
      </c>
      <c r="C32" s="741" t="s">
        <v>305</v>
      </c>
      <c r="D32" s="760">
        <f t="shared" si="36"/>
        <v>2020</v>
      </c>
      <c r="E32" s="761">
        <f>154/365</f>
        <v>0.42191780821917807</v>
      </c>
      <c r="F32" s="762">
        <f>'6b-ADIT Projection Proration'!G32</f>
        <v>0</v>
      </c>
      <c r="G32" s="763">
        <f t="shared" si="37"/>
        <v>0</v>
      </c>
      <c r="H32" s="763">
        <f t="shared" si="38"/>
        <v>0</v>
      </c>
      <c r="I32" s="765">
        <v>0</v>
      </c>
      <c r="J32" s="763">
        <f t="shared" si="39"/>
        <v>0</v>
      </c>
      <c r="K32" s="766">
        <f t="shared" si="58"/>
        <v>0</v>
      </c>
      <c r="L32" s="763">
        <f t="shared" si="59"/>
        <v>0</v>
      </c>
      <c r="M32" s="763">
        <f t="shared" ref="M32:M37" si="63">IF(K32&gt;0,0,IF(I32&gt;0,0,(-(J32)*0.5)))</f>
        <v>0</v>
      </c>
      <c r="N32" s="767">
        <f t="shared" si="60"/>
        <v>0</v>
      </c>
      <c r="O32" s="762">
        <f>'6b-ADIT Projection Proration'!I32</f>
        <v>0</v>
      </c>
      <c r="P32" s="763">
        <f t="shared" si="44"/>
        <v>0</v>
      </c>
      <c r="Q32" s="763">
        <f t="shared" si="45"/>
        <v>0</v>
      </c>
      <c r="R32" s="765">
        <v>0</v>
      </c>
      <c r="S32" s="763">
        <f t="shared" si="46"/>
        <v>0</v>
      </c>
      <c r="T32" s="766">
        <f t="shared" si="55"/>
        <v>0</v>
      </c>
      <c r="U32" s="763">
        <f t="shared" si="47"/>
        <v>0</v>
      </c>
      <c r="V32" s="763">
        <f t="shared" si="48"/>
        <v>0</v>
      </c>
      <c r="W32" s="767">
        <f t="shared" si="61"/>
        <v>0</v>
      </c>
      <c r="X32" s="762">
        <f>'6b-ADIT Projection Proration'!K32</f>
        <v>0</v>
      </c>
      <c r="Y32" s="763">
        <f t="shared" si="49"/>
        <v>0</v>
      </c>
      <c r="Z32" s="763">
        <f t="shared" si="50"/>
        <v>0</v>
      </c>
      <c r="AA32" s="765">
        <v>0</v>
      </c>
      <c r="AB32" s="763">
        <f t="shared" si="51"/>
        <v>0</v>
      </c>
      <c r="AC32" s="766">
        <f t="shared" si="57"/>
        <v>0</v>
      </c>
      <c r="AD32" s="763">
        <f t="shared" si="52"/>
        <v>0</v>
      </c>
      <c r="AE32" s="763">
        <f t="shared" si="53"/>
        <v>0</v>
      </c>
      <c r="AF32" s="767">
        <f t="shared" si="62"/>
        <v>0</v>
      </c>
    </row>
    <row r="33" spans="1:33">
      <c r="A33" s="759">
        <f t="shared" si="35"/>
        <v>23</v>
      </c>
      <c r="B33" s="746" t="s">
        <v>748</v>
      </c>
      <c r="C33" s="741" t="s">
        <v>306</v>
      </c>
      <c r="D33" s="760">
        <f t="shared" si="36"/>
        <v>2020</v>
      </c>
      <c r="E33" s="761">
        <f>123/365</f>
        <v>0.33698630136986302</v>
      </c>
      <c r="F33" s="762">
        <f>'6b-ADIT Projection Proration'!G33</f>
        <v>0</v>
      </c>
      <c r="G33" s="763">
        <f t="shared" si="37"/>
        <v>0</v>
      </c>
      <c r="H33" s="763">
        <f t="shared" si="38"/>
        <v>0</v>
      </c>
      <c r="I33" s="765">
        <v>0</v>
      </c>
      <c r="J33" s="763">
        <f t="shared" si="39"/>
        <v>0</v>
      </c>
      <c r="K33" s="766">
        <f t="shared" si="58"/>
        <v>0</v>
      </c>
      <c r="L33" s="763">
        <f t="shared" si="59"/>
        <v>0</v>
      </c>
      <c r="M33" s="763">
        <f t="shared" si="63"/>
        <v>0</v>
      </c>
      <c r="N33" s="767">
        <f t="shared" si="60"/>
        <v>0</v>
      </c>
      <c r="O33" s="762">
        <f>'6b-ADIT Projection Proration'!I33</f>
        <v>0</v>
      </c>
      <c r="P33" s="763">
        <f t="shared" si="44"/>
        <v>0</v>
      </c>
      <c r="Q33" s="763">
        <f t="shared" si="45"/>
        <v>0</v>
      </c>
      <c r="R33" s="765">
        <v>0</v>
      </c>
      <c r="S33" s="763">
        <f t="shared" si="46"/>
        <v>0</v>
      </c>
      <c r="T33" s="766">
        <f t="shared" si="55"/>
        <v>0</v>
      </c>
      <c r="U33" s="763">
        <f t="shared" si="47"/>
        <v>0</v>
      </c>
      <c r="V33" s="763">
        <f t="shared" si="48"/>
        <v>0</v>
      </c>
      <c r="W33" s="767">
        <f t="shared" si="61"/>
        <v>0</v>
      </c>
      <c r="X33" s="762">
        <f>'6b-ADIT Projection Proration'!K33</f>
        <v>0</v>
      </c>
      <c r="Y33" s="763">
        <f t="shared" si="49"/>
        <v>0</v>
      </c>
      <c r="Z33" s="763">
        <f t="shared" si="50"/>
        <v>0</v>
      </c>
      <c r="AA33" s="765">
        <v>0</v>
      </c>
      <c r="AB33" s="763">
        <f t="shared" si="51"/>
        <v>0</v>
      </c>
      <c r="AC33" s="766">
        <f t="shared" si="57"/>
        <v>0</v>
      </c>
      <c r="AD33" s="763">
        <f t="shared" si="52"/>
        <v>0</v>
      </c>
      <c r="AE33" s="763">
        <f t="shared" si="53"/>
        <v>0</v>
      </c>
      <c r="AF33" s="767">
        <f t="shared" si="62"/>
        <v>0</v>
      </c>
    </row>
    <row r="34" spans="1:33">
      <c r="A34" s="759">
        <f t="shared" si="35"/>
        <v>24</v>
      </c>
      <c r="B34" s="746" t="s">
        <v>748</v>
      </c>
      <c r="C34" s="741" t="s">
        <v>307</v>
      </c>
      <c r="D34" s="760">
        <f t="shared" si="36"/>
        <v>2020</v>
      </c>
      <c r="E34" s="761">
        <f>93/365</f>
        <v>0.25479452054794521</v>
      </c>
      <c r="F34" s="762">
        <f>'6b-ADIT Projection Proration'!G34</f>
        <v>0</v>
      </c>
      <c r="G34" s="763">
        <f t="shared" si="37"/>
        <v>0</v>
      </c>
      <c r="H34" s="763">
        <f t="shared" si="38"/>
        <v>0</v>
      </c>
      <c r="I34" s="765">
        <v>0</v>
      </c>
      <c r="J34" s="763">
        <f t="shared" si="39"/>
        <v>0</v>
      </c>
      <c r="K34" s="766">
        <f t="shared" si="58"/>
        <v>0</v>
      </c>
      <c r="L34" s="763">
        <f t="shared" si="59"/>
        <v>0</v>
      </c>
      <c r="M34" s="763">
        <f t="shared" si="63"/>
        <v>0</v>
      </c>
      <c r="N34" s="767">
        <f t="shared" si="60"/>
        <v>0</v>
      </c>
      <c r="O34" s="762">
        <f>'6b-ADIT Projection Proration'!I34</f>
        <v>0</v>
      </c>
      <c r="P34" s="763">
        <f t="shared" si="44"/>
        <v>0</v>
      </c>
      <c r="Q34" s="763">
        <f t="shared" si="45"/>
        <v>0</v>
      </c>
      <c r="R34" s="765">
        <v>0</v>
      </c>
      <c r="S34" s="763">
        <f t="shared" si="46"/>
        <v>0</v>
      </c>
      <c r="T34" s="766">
        <f t="shared" si="55"/>
        <v>0</v>
      </c>
      <c r="U34" s="763">
        <f t="shared" si="47"/>
        <v>0</v>
      </c>
      <c r="V34" s="763">
        <f t="shared" si="48"/>
        <v>0</v>
      </c>
      <c r="W34" s="767">
        <f t="shared" si="61"/>
        <v>0</v>
      </c>
      <c r="X34" s="762">
        <f>'6b-ADIT Projection Proration'!K34</f>
        <v>0</v>
      </c>
      <c r="Y34" s="763">
        <f t="shared" si="49"/>
        <v>0</v>
      </c>
      <c r="Z34" s="763">
        <f t="shared" si="50"/>
        <v>0</v>
      </c>
      <c r="AA34" s="765">
        <v>0</v>
      </c>
      <c r="AB34" s="763">
        <f t="shared" si="51"/>
        <v>0</v>
      </c>
      <c r="AC34" s="766">
        <f t="shared" si="57"/>
        <v>0</v>
      </c>
      <c r="AD34" s="763">
        <f t="shared" si="52"/>
        <v>0</v>
      </c>
      <c r="AE34" s="763">
        <f t="shared" si="53"/>
        <v>0</v>
      </c>
      <c r="AF34" s="767">
        <f t="shared" si="62"/>
        <v>0</v>
      </c>
    </row>
    <row r="35" spans="1:33">
      <c r="A35" s="759">
        <f t="shared" si="35"/>
        <v>25</v>
      </c>
      <c r="B35" s="746" t="s">
        <v>748</v>
      </c>
      <c r="C35" s="741" t="s">
        <v>314</v>
      </c>
      <c r="D35" s="760">
        <f t="shared" si="36"/>
        <v>2020</v>
      </c>
      <c r="E35" s="761">
        <f>62/365</f>
        <v>0.16986301369863013</v>
      </c>
      <c r="F35" s="762">
        <f>'6b-ADIT Projection Proration'!G35</f>
        <v>0</v>
      </c>
      <c r="G35" s="763">
        <f t="shared" si="37"/>
        <v>0</v>
      </c>
      <c r="H35" s="763">
        <f t="shared" si="38"/>
        <v>0</v>
      </c>
      <c r="I35" s="765">
        <v>0</v>
      </c>
      <c r="J35" s="763">
        <f t="shared" si="39"/>
        <v>0</v>
      </c>
      <c r="K35" s="766">
        <f t="shared" si="58"/>
        <v>0</v>
      </c>
      <c r="L35" s="763">
        <f t="shared" si="59"/>
        <v>0</v>
      </c>
      <c r="M35" s="763">
        <f t="shared" si="63"/>
        <v>0</v>
      </c>
      <c r="N35" s="767">
        <f t="shared" si="60"/>
        <v>0</v>
      </c>
      <c r="O35" s="762">
        <f>'6b-ADIT Projection Proration'!I35</f>
        <v>0</v>
      </c>
      <c r="P35" s="763">
        <f t="shared" si="44"/>
        <v>0</v>
      </c>
      <c r="Q35" s="763">
        <f t="shared" si="45"/>
        <v>0</v>
      </c>
      <c r="R35" s="765">
        <v>0</v>
      </c>
      <c r="S35" s="763">
        <f t="shared" si="46"/>
        <v>0</v>
      </c>
      <c r="T35" s="766">
        <f t="shared" si="55"/>
        <v>0</v>
      </c>
      <c r="U35" s="763">
        <f t="shared" si="47"/>
        <v>0</v>
      </c>
      <c r="V35" s="763">
        <f t="shared" si="48"/>
        <v>0</v>
      </c>
      <c r="W35" s="767">
        <f t="shared" si="61"/>
        <v>0</v>
      </c>
      <c r="X35" s="762">
        <f>'6b-ADIT Projection Proration'!K35</f>
        <v>0</v>
      </c>
      <c r="Y35" s="763">
        <f t="shared" si="49"/>
        <v>0</v>
      </c>
      <c r="Z35" s="763">
        <f t="shared" si="50"/>
        <v>0</v>
      </c>
      <c r="AA35" s="765">
        <v>0</v>
      </c>
      <c r="AB35" s="763">
        <f t="shared" si="51"/>
        <v>0</v>
      </c>
      <c r="AC35" s="766">
        <f t="shared" si="57"/>
        <v>0</v>
      </c>
      <c r="AD35" s="763">
        <f t="shared" si="52"/>
        <v>0</v>
      </c>
      <c r="AE35" s="763">
        <f t="shared" si="53"/>
        <v>0</v>
      </c>
      <c r="AF35" s="767">
        <f t="shared" si="62"/>
        <v>0</v>
      </c>
    </row>
    <row r="36" spans="1:33">
      <c r="A36" s="759">
        <f t="shared" si="35"/>
        <v>26</v>
      </c>
      <c r="B36" s="746" t="s">
        <v>748</v>
      </c>
      <c r="C36" s="741" t="s">
        <v>309</v>
      </c>
      <c r="D36" s="760">
        <f t="shared" si="36"/>
        <v>2020</v>
      </c>
      <c r="E36" s="761">
        <f>32/365</f>
        <v>8.7671232876712329E-2</v>
      </c>
      <c r="F36" s="762">
        <f>'6b-ADIT Projection Proration'!G36</f>
        <v>0</v>
      </c>
      <c r="G36" s="763">
        <f t="shared" si="37"/>
        <v>0</v>
      </c>
      <c r="H36" s="763">
        <f t="shared" si="38"/>
        <v>0</v>
      </c>
      <c r="I36" s="765">
        <v>0</v>
      </c>
      <c r="J36" s="763">
        <f t="shared" si="39"/>
        <v>0</v>
      </c>
      <c r="K36" s="766">
        <f t="shared" si="58"/>
        <v>0</v>
      </c>
      <c r="L36" s="763">
        <f t="shared" si="59"/>
        <v>0</v>
      </c>
      <c r="M36" s="763">
        <f t="shared" si="63"/>
        <v>0</v>
      </c>
      <c r="N36" s="767">
        <f t="shared" si="60"/>
        <v>0</v>
      </c>
      <c r="O36" s="762">
        <f>'6b-ADIT Projection Proration'!I36</f>
        <v>0</v>
      </c>
      <c r="P36" s="763">
        <f t="shared" si="44"/>
        <v>0</v>
      </c>
      <c r="Q36" s="763">
        <f t="shared" si="45"/>
        <v>0</v>
      </c>
      <c r="R36" s="765">
        <v>0</v>
      </c>
      <c r="S36" s="763">
        <f t="shared" si="46"/>
        <v>0</v>
      </c>
      <c r="T36" s="766">
        <f t="shared" si="55"/>
        <v>0</v>
      </c>
      <c r="U36" s="763">
        <f t="shared" si="47"/>
        <v>0</v>
      </c>
      <c r="V36" s="763">
        <f t="shared" si="48"/>
        <v>0</v>
      </c>
      <c r="W36" s="767">
        <f t="shared" si="61"/>
        <v>0</v>
      </c>
      <c r="X36" s="762">
        <f>'6b-ADIT Projection Proration'!K36</f>
        <v>0</v>
      </c>
      <c r="Y36" s="763">
        <f t="shared" si="49"/>
        <v>0</v>
      </c>
      <c r="Z36" s="763">
        <f t="shared" si="50"/>
        <v>0</v>
      </c>
      <c r="AA36" s="765">
        <v>0</v>
      </c>
      <c r="AB36" s="763">
        <f t="shared" si="51"/>
        <v>0</v>
      </c>
      <c r="AC36" s="766">
        <f t="shared" si="57"/>
        <v>0</v>
      </c>
      <c r="AD36" s="763">
        <f t="shared" si="52"/>
        <v>0</v>
      </c>
      <c r="AE36" s="763">
        <f t="shared" si="53"/>
        <v>0</v>
      </c>
      <c r="AF36" s="767">
        <f t="shared" si="62"/>
        <v>0</v>
      </c>
    </row>
    <row r="37" spans="1:33">
      <c r="A37" s="759">
        <f t="shared" si="35"/>
        <v>27</v>
      </c>
      <c r="B37" s="746" t="s">
        <v>748</v>
      </c>
      <c r="C37" s="741" t="s">
        <v>296</v>
      </c>
      <c r="D37" s="760">
        <f t="shared" si="36"/>
        <v>2020</v>
      </c>
      <c r="E37" s="761">
        <f>1/365</f>
        <v>2.7397260273972603E-3</v>
      </c>
      <c r="F37" s="768">
        <f>'6b-ADIT Projection Proration'!G37</f>
        <v>0</v>
      </c>
      <c r="G37" s="769">
        <f t="shared" si="37"/>
        <v>0</v>
      </c>
      <c r="H37" s="769">
        <f t="shared" si="38"/>
        <v>0</v>
      </c>
      <c r="I37" s="765">
        <v>0</v>
      </c>
      <c r="J37" s="763">
        <f t="shared" si="39"/>
        <v>0</v>
      </c>
      <c r="K37" s="766">
        <f t="shared" si="58"/>
        <v>0</v>
      </c>
      <c r="L37" s="763">
        <f t="shared" si="59"/>
        <v>0</v>
      </c>
      <c r="M37" s="763">
        <f t="shared" si="63"/>
        <v>0</v>
      </c>
      <c r="N37" s="767">
        <f t="shared" si="60"/>
        <v>0</v>
      </c>
      <c r="O37" s="768">
        <f>'6b-ADIT Projection Proration'!I37</f>
        <v>0</v>
      </c>
      <c r="P37" s="769">
        <f t="shared" si="44"/>
        <v>0</v>
      </c>
      <c r="Q37" s="769">
        <f t="shared" si="45"/>
        <v>0</v>
      </c>
      <c r="R37" s="770">
        <v>0</v>
      </c>
      <c r="S37" s="763">
        <f t="shared" si="46"/>
        <v>0</v>
      </c>
      <c r="T37" s="766">
        <f t="shared" si="55"/>
        <v>0</v>
      </c>
      <c r="U37" s="763">
        <f t="shared" si="47"/>
        <v>0</v>
      </c>
      <c r="V37" s="763">
        <f t="shared" si="48"/>
        <v>0</v>
      </c>
      <c r="W37" s="767">
        <f t="shared" si="61"/>
        <v>0</v>
      </c>
      <c r="X37" s="768">
        <f>'6b-ADIT Projection Proration'!K37</f>
        <v>0</v>
      </c>
      <c r="Y37" s="769">
        <f t="shared" si="49"/>
        <v>0</v>
      </c>
      <c r="Z37" s="769">
        <f t="shared" si="50"/>
        <v>0</v>
      </c>
      <c r="AA37" s="765">
        <v>0</v>
      </c>
      <c r="AB37" s="763">
        <f t="shared" si="51"/>
        <v>0</v>
      </c>
      <c r="AC37" s="766">
        <f t="shared" si="57"/>
        <v>0</v>
      </c>
      <c r="AD37" s="763">
        <f t="shared" si="52"/>
        <v>0</v>
      </c>
      <c r="AE37" s="763">
        <f t="shared" si="53"/>
        <v>0</v>
      </c>
      <c r="AF37" s="767">
        <f t="shared" si="62"/>
        <v>0</v>
      </c>
    </row>
    <row r="38" spans="1:33">
      <c r="A38" s="759">
        <f t="shared" si="35"/>
        <v>28</v>
      </c>
      <c r="B38" s="746" t="s">
        <v>752</v>
      </c>
      <c r="F38" s="762">
        <f t="shared" ref="F38:M38" si="64">SUM(F25:F37)</f>
        <v>0</v>
      </c>
      <c r="G38" s="772">
        <f t="shared" si="64"/>
        <v>0</v>
      </c>
      <c r="H38" s="763"/>
      <c r="I38" s="772">
        <f t="shared" si="64"/>
        <v>0</v>
      </c>
      <c r="J38" s="772">
        <f t="shared" si="64"/>
        <v>0</v>
      </c>
      <c r="K38" s="772">
        <f t="shared" si="64"/>
        <v>0</v>
      </c>
      <c r="L38" s="772">
        <f t="shared" si="64"/>
        <v>0</v>
      </c>
      <c r="M38" s="772">
        <f t="shared" si="64"/>
        <v>0</v>
      </c>
      <c r="N38" s="773"/>
      <c r="O38" s="762">
        <f t="shared" ref="O38:P38" si="65">SUM(O25:O37)</f>
        <v>0</v>
      </c>
      <c r="P38" s="772">
        <f t="shared" si="65"/>
        <v>0</v>
      </c>
      <c r="Q38" s="763"/>
      <c r="R38" s="763">
        <f t="shared" ref="R38:V38" si="66">SUM(R25:R37)</f>
        <v>0</v>
      </c>
      <c r="S38" s="772">
        <f t="shared" si="66"/>
        <v>0</v>
      </c>
      <c r="T38" s="772">
        <f t="shared" si="66"/>
        <v>0</v>
      </c>
      <c r="U38" s="772">
        <f t="shared" si="66"/>
        <v>0</v>
      </c>
      <c r="V38" s="772">
        <f t="shared" si="66"/>
        <v>0</v>
      </c>
      <c r="W38" s="773"/>
      <c r="X38" s="762">
        <f t="shared" ref="X38:Y38" si="67">SUM(X25:X37)</f>
        <v>0</v>
      </c>
      <c r="Y38" s="772">
        <f t="shared" si="67"/>
        <v>0</v>
      </c>
      <c r="Z38" s="763"/>
      <c r="AA38" s="772">
        <f t="shared" ref="AA38:AE38" si="68">SUM(AA25:AA37)</f>
        <v>0</v>
      </c>
      <c r="AB38" s="772">
        <f t="shared" si="68"/>
        <v>0</v>
      </c>
      <c r="AC38" s="772">
        <f t="shared" si="68"/>
        <v>0</v>
      </c>
      <c r="AD38" s="772">
        <f t="shared" si="68"/>
        <v>0</v>
      </c>
      <c r="AE38" s="772">
        <f t="shared" si="68"/>
        <v>0</v>
      </c>
      <c r="AF38" s="773"/>
    </row>
    <row r="39" spans="1:33">
      <c r="A39" s="759"/>
      <c r="F39" s="762"/>
      <c r="G39" s="763"/>
      <c r="H39" s="763"/>
      <c r="I39" s="763"/>
      <c r="J39" s="763"/>
      <c r="K39" s="763"/>
      <c r="L39" s="763"/>
      <c r="M39" s="763"/>
      <c r="N39" s="764"/>
      <c r="O39" s="762"/>
      <c r="P39" s="763"/>
      <c r="Q39" s="763"/>
      <c r="R39" s="763"/>
      <c r="S39" s="763"/>
      <c r="T39" s="763"/>
      <c r="U39" s="763"/>
      <c r="V39" s="763"/>
      <c r="W39" s="764"/>
      <c r="X39" s="762"/>
      <c r="Y39" s="763"/>
      <c r="Z39" s="763"/>
      <c r="AA39" s="763"/>
      <c r="AB39" s="763"/>
      <c r="AC39" s="763"/>
      <c r="AD39" s="763"/>
      <c r="AE39" s="763"/>
      <c r="AF39" s="764"/>
    </row>
    <row r="40" spans="1:33">
      <c r="A40" s="741" t="s">
        <v>824</v>
      </c>
      <c r="D40" s="745"/>
      <c r="E40" s="745"/>
      <c r="F40" s="762"/>
      <c r="G40" s="763"/>
      <c r="H40" s="763"/>
      <c r="I40" s="763"/>
      <c r="J40" s="763"/>
      <c r="K40" s="763"/>
      <c r="L40" s="763"/>
      <c r="M40" s="763"/>
      <c r="N40" s="764"/>
      <c r="O40" s="762"/>
      <c r="P40" s="763"/>
      <c r="Q40" s="763"/>
      <c r="R40" s="763"/>
      <c r="S40" s="763"/>
      <c r="T40" s="763"/>
      <c r="U40" s="763"/>
      <c r="V40" s="763"/>
      <c r="W40" s="764"/>
      <c r="X40" s="762"/>
      <c r="Y40" s="763"/>
      <c r="Z40" s="763"/>
      <c r="AA40" s="763"/>
      <c r="AB40" s="763"/>
      <c r="AC40" s="763"/>
      <c r="AD40" s="763"/>
      <c r="AE40" s="763"/>
      <c r="AF40" s="764"/>
      <c r="AG40" s="745"/>
    </row>
    <row r="41" spans="1:33">
      <c r="A41" s="759">
        <f>A38+1</f>
        <v>29</v>
      </c>
      <c r="B41" s="746" t="s">
        <v>825</v>
      </c>
      <c r="C41" s="741" t="s">
        <v>296</v>
      </c>
      <c r="D41" s="760">
        <f>+D9</f>
        <v>2019</v>
      </c>
      <c r="E41" s="761">
        <f>365/365</f>
        <v>1</v>
      </c>
      <c r="F41" s="762"/>
      <c r="G41" s="763"/>
      <c r="H41" s="763">
        <f>'6c- ADIT BOY'!E28</f>
        <v>0</v>
      </c>
      <c r="I41" s="763"/>
      <c r="J41" s="763"/>
      <c r="K41" s="763"/>
      <c r="L41" s="763"/>
      <c r="M41" s="763"/>
      <c r="N41" s="764"/>
      <c r="O41" s="762"/>
      <c r="P41" s="763"/>
      <c r="Q41" s="763">
        <f>'6c- ADIT BOY'!F28</f>
        <v>0</v>
      </c>
      <c r="R41" s="763"/>
      <c r="S41" s="763"/>
      <c r="T41" s="763"/>
      <c r="U41" s="763"/>
      <c r="V41" s="763"/>
      <c r="W41" s="764"/>
      <c r="X41" s="762"/>
      <c r="Y41" s="763"/>
      <c r="Z41" s="763">
        <f>'6c- ADIT BOY'!G28</f>
        <v>0</v>
      </c>
      <c r="AA41" s="763"/>
      <c r="AB41" s="763"/>
      <c r="AC41" s="763"/>
      <c r="AD41" s="763"/>
      <c r="AE41" s="763"/>
      <c r="AF41" s="764"/>
    </row>
    <row r="42" spans="1:33">
      <c r="A42" s="759">
        <f t="shared" ref="A42:A54" si="69">+A41+1</f>
        <v>30</v>
      </c>
      <c r="B42" s="746" t="s">
        <v>748</v>
      </c>
      <c r="C42" s="741" t="s">
        <v>298</v>
      </c>
      <c r="D42" s="760">
        <f t="shared" ref="D42:D53" si="70">+D10</f>
        <v>2020</v>
      </c>
      <c r="E42" s="761">
        <f>335/365</f>
        <v>0.9178082191780822</v>
      </c>
      <c r="F42" s="762">
        <f>'6b-ADIT Projection Proration'!G42</f>
        <v>0</v>
      </c>
      <c r="G42" s="763">
        <f t="shared" ref="G42:G53" si="71">$E42*F42</f>
        <v>0</v>
      </c>
      <c r="H42" s="763">
        <f t="shared" ref="H42:H53" si="72">+G42+H41</f>
        <v>0</v>
      </c>
      <c r="I42" s="765">
        <v>0</v>
      </c>
      <c r="J42" s="763">
        <f t="shared" ref="J42:J53" si="73">I42-F42</f>
        <v>0</v>
      </c>
      <c r="K42" s="766">
        <f t="shared" ref="K42:K44" si="74">IF(J42&gt;=0,+J42*0.5,0)</f>
        <v>0</v>
      </c>
      <c r="L42" s="763">
        <f t="shared" ref="L42:L44" si="75">IF(K42&gt;0,0,IF(I42&lt;0,0,(-(J42)*0.5)))</f>
        <v>0</v>
      </c>
      <c r="M42" s="763">
        <f t="shared" ref="M42:M46" si="76">IF(K42&gt;0,0,IF(I42&gt;0,0,(-(J42)*0.5)))</f>
        <v>0</v>
      </c>
      <c r="N42" s="767">
        <f t="shared" ref="N42:N44" si="77">+N41+G42+K42-L42-M42</f>
        <v>0</v>
      </c>
      <c r="O42" s="762">
        <f>'6b-ADIT Projection Proration'!I42</f>
        <v>0</v>
      </c>
      <c r="P42" s="763">
        <f t="shared" ref="P42:P53" si="78">$E42*O42</f>
        <v>0</v>
      </c>
      <c r="Q42" s="763">
        <f t="shared" ref="Q42:Q53" si="79">+P42+Q41</f>
        <v>0</v>
      </c>
      <c r="R42" s="765">
        <v>0</v>
      </c>
      <c r="S42" s="763">
        <f t="shared" ref="S42:S53" si="80">R42-O42</f>
        <v>0</v>
      </c>
      <c r="T42" s="766">
        <f>IF(S42&gt;=0,+S42*E42,0)</f>
        <v>0</v>
      </c>
      <c r="U42" s="763">
        <f t="shared" ref="U42:U53" si="81">IF(T42&gt;0,0,IF(R42&lt;0,0,(-(S42)*($E42))))</f>
        <v>0</v>
      </c>
      <c r="V42" s="763">
        <f t="shared" ref="V42:V53" si="82">IF(T42&gt;0,0,IF(R42&gt;0,0,(-(S42)*($E42))))</f>
        <v>0</v>
      </c>
      <c r="W42" s="767">
        <f t="shared" ref="W42:W44" si="83">+W41+P42+T42-U42-V42</f>
        <v>0</v>
      </c>
      <c r="X42" s="762">
        <f>'6b-ADIT Projection Proration'!K42</f>
        <v>0</v>
      </c>
      <c r="Y42" s="763">
        <f t="shared" ref="Y42:Y53" si="84">$E42*X42</f>
        <v>0</v>
      </c>
      <c r="Z42" s="763">
        <f t="shared" ref="Z42:Z53" si="85">+Y42+Z41</f>
        <v>0</v>
      </c>
      <c r="AA42" s="765">
        <v>0</v>
      </c>
      <c r="AB42" s="763">
        <f t="shared" ref="AB42:AB53" si="86">AA42-X42</f>
        <v>0</v>
      </c>
      <c r="AC42" s="766">
        <f>IF(AB42&gt;=0,+AB42*E42,0)</f>
        <v>0</v>
      </c>
      <c r="AD42" s="763">
        <f t="shared" ref="AD42:AD53" si="87">IF(AC42&gt;0,0,IF(AA42&lt;0,0,(-(AB42)*($E42))))</f>
        <v>0</v>
      </c>
      <c r="AE42" s="763">
        <f t="shared" ref="AE42:AE53" si="88">IF(AC42&gt;0,0,IF(AA42&gt;0,0,(-(AB42)*($E42))))</f>
        <v>0</v>
      </c>
      <c r="AF42" s="767">
        <f t="shared" ref="AF42:AF44" si="89">+AF41+Y42+AC42-AD42-AE42</f>
        <v>0</v>
      </c>
    </row>
    <row r="43" spans="1:33">
      <c r="A43" s="759">
        <f t="shared" si="69"/>
        <v>31</v>
      </c>
      <c r="B43" s="746" t="s">
        <v>748</v>
      </c>
      <c r="C43" s="741" t="s">
        <v>300</v>
      </c>
      <c r="D43" s="760">
        <f t="shared" si="70"/>
        <v>2020</v>
      </c>
      <c r="E43" s="761">
        <f>307/365</f>
        <v>0.84109589041095889</v>
      </c>
      <c r="F43" s="762">
        <f>'6b-ADIT Projection Proration'!G43</f>
        <v>0</v>
      </c>
      <c r="G43" s="763">
        <f t="shared" si="71"/>
        <v>0</v>
      </c>
      <c r="H43" s="763">
        <f t="shared" si="72"/>
        <v>0</v>
      </c>
      <c r="I43" s="765">
        <v>0</v>
      </c>
      <c r="J43" s="763">
        <f t="shared" si="73"/>
        <v>0</v>
      </c>
      <c r="K43" s="766">
        <f t="shared" si="74"/>
        <v>0</v>
      </c>
      <c r="L43" s="763">
        <f t="shared" si="75"/>
        <v>0</v>
      </c>
      <c r="M43" s="763">
        <f t="shared" si="76"/>
        <v>0</v>
      </c>
      <c r="N43" s="767">
        <f t="shared" si="77"/>
        <v>0</v>
      </c>
      <c r="O43" s="762">
        <f>'6b-ADIT Projection Proration'!I43</f>
        <v>0</v>
      </c>
      <c r="P43" s="763">
        <f t="shared" si="78"/>
        <v>0</v>
      </c>
      <c r="Q43" s="763">
        <f t="shared" si="79"/>
        <v>0</v>
      </c>
      <c r="R43" s="765">
        <v>0</v>
      </c>
      <c r="S43" s="763">
        <f t="shared" si="80"/>
        <v>0</v>
      </c>
      <c r="T43" s="766">
        <f t="shared" ref="T43:T53" si="90">IF(S43&gt;=0,+S43*E43,0)</f>
        <v>0</v>
      </c>
      <c r="U43" s="763">
        <f t="shared" si="81"/>
        <v>0</v>
      </c>
      <c r="V43" s="763">
        <f t="shared" si="82"/>
        <v>0</v>
      </c>
      <c r="W43" s="767">
        <f t="shared" si="83"/>
        <v>0</v>
      </c>
      <c r="X43" s="762">
        <f>'6b-ADIT Projection Proration'!K43</f>
        <v>0</v>
      </c>
      <c r="Y43" s="763">
        <f t="shared" si="84"/>
        <v>0</v>
      </c>
      <c r="Z43" s="763">
        <f t="shared" si="85"/>
        <v>0</v>
      </c>
      <c r="AA43" s="765">
        <v>0</v>
      </c>
      <c r="AB43" s="763">
        <f t="shared" si="86"/>
        <v>0</v>
      </c>
      <c r="AC43" s="766">
        <f t="shared" ref="AC43:AC53" si="91">IF(AB43&gt;=0,+AB43*E43,0)</f>
        <v>0</v>
      </c>
      <c r="AD43" s="763">
        <f t="shared" si="87"/>
        <v>0</v>
      </c>
      <c r="AE43" s="763">
        <f t="shared" si="88"/>
        <v>0</v>
      </c>
      <c r="AF43" s="767">
        <f t="shared" si="89"/>
        <v>0</v>
      </c>
    </row>
    <row r="44" spans="1:33">
      <c r="A44" s="759">
        <f t="shared" si="69"/>
        <v>32</v>
      </c>
      <c r="B44" s="746" t="s">
        <v>748</v>
      </c>
      <c r="C44" s="741" t="s">
        <v>301</v>
      </c>
      <c r="D44" s="760">
        <f t="shared" si="70"/>
        <v>2020</v>
      </c>
      <c r="E44" s="761">
        <f>276/365</f>
        <v>0.75616438356164384</v>
      </c>
      <c r="F44" s="762">
        <f>'6b-ADIT Projection Proration'!G44</f>
        <v>0</v>
      </c>
      <c r="G44" s="763">
        <f t="shared" si="71"/>
        <v>0</v>
      </c>
      <c r="H44" s="763">
        <f t="shared" si="72"/>
        <v>0</v>
      </c>
      <c r="I44" s="765">
        <v>0</v>
      </c>
      <c r="J44" s="763">
        <f t="shared" si="73"/>
        <v>0</v>
      </c>
      <c r="K44" s="766">
        <f t="shared" si="74"/>
        <v>0</v>
      </c>
      <c r="L44" s="763">
        <f t="shared" si="75"/>
        <v>0</v>
      </c>
      <c r="M44" s="763">
        <f t="shared" si="76"/>
        <v>0</v>
      </c>
      <c r="N44" s="767">
        <f t="shared" si="77"/>
        <v>0</v>
      </c>
      <c r="O44" s="762">
        <f>'6b-ADIT Projection Proration'!I44</f>
        <v>0</v>
      </c>
      <c r="P44" s="763">
        <f t="shared" si="78"/>
        <v>0</v>
      </c>
      <c r="Q44" s="763">
        <f t="shared" si="79"/>
        <v>0</v>
      </c>
      <c r="R44" s="765">
        <v>0</v>
      </c>
      <c r="S44" s="763">
        <f t="shared" si="80"/>
        <v>0</v>
      </c>
      <c r="T44" s="766">
        <f t="shared" si="90"/>
        <v>0</v>
      </c>
      <c r="U44" s="763">
        <f t="shared" si="81"/>
        <v>0</v>
      </c>
      <c r="V44" s="763">
        <f t="shared" si="82"/>
        <v>0</v>
      </c>
      <c r="W44" s="767">
        <f t="shared" si="83"/>
        <v>0</v>
      </c>
      <c r="X44" s="762">
        <f>'6b-ADIT Projection Proration'!K44</f>
        <v>0</v>
      </c>
      <c r="Y44" s="763">
        <f t="shared" si="84"/>
        <v>0</v>
      </c>
      <c r="Z44" s="763">
        <f t="shared" si="85"/>
        <v>0</v>
      </c>
      <c r="AA44" s="765">
        <v>0</v>
      </c>
      <c r="AB44" s="763">
        <f t="shared" si="86"/>
        <v>0</v>
      </c>
      <c r="AC44" s="766">
        <f t="shared" si="91"/>
        <v>0</v>
      </c>
      <c r="AD44" s="763">
        <f t="shared" si="87"/>
        <v>0</v>
      </c>
      <c r="AE44" s="763">
        <f t="shared" si="88"/>
        <v>0</v>
      </c>
      <c r="AF44" s="767">
        <f t="shared" si="89"/>
        <v>0</v>
      </c>
    </row>
    <row r="45" spans="1:33">
      <c r="A45" s="759">
        <f t="shared" si="69"/>
        <v>33</v>
      </c>
      <c r="B45" s="746" t="s">
        <v>748</v>
      </c>
      <c r="C45" s="741" t="s">
        <v>302</v>
      </c>
      <c r="D45" s="760">
        <f t="shared" si="70"/>
        <v>2020</v>
      </c>
      <c r="E45" s="761">
        <f>246/365</f>
        <v>0.67397260273972603</v>
      </c>
      <c r="F45" s="762">
        <f>'6b-ADIT Projection Proration'!G45</f>
        <v>0</v>
      </c>
      <c r="G45" s="763">
        <f t="shared" si="71"/>
        <v>0</v>
      </c>
      <c r="H45" s="763">
        <f t="shared" si="72"/>
        <v>0</v>
      </c>
      <c r="I45" s="765">
        <v>0</v>
      </c>
      <c r="J45" s="763">
        <f t="shared" si="73"/>
        <v>0</v>
      </c>
      <c r="K45" s="766">
        <f>IF(J45&gt;=0,+J45*0.5,0)</f>
        <v>0</v>
      </c>
      <c r="L45" s="763">
        <f>IF(K45&gt;0,0,IF(I45&lt;0,0,(-(J45)*0.5)))</f>
        <v>0</v>
      </c>
      <c r="M45" s="763">
        <f t="shared" si="76"/>
        <v>0</v>
      </c>
      <c r="N45" s="767">
        <f>+N44+G45+K45-L45-M45</f>
        <v>0</v>
      </c>
      <c r="O45" s="762">
        <f>'6b-ADIT Projection Proration'!I45</f>
        <v>0</v>
      </c>
      <c r="P45" s="763">
        <f t="shared" si="78"/>
        <v>0</v>
      </c>
      <c r="Q45" s="763">
        <f t="shared" si="79"/>
        <v>0</v>
      </c>
      <c r="R45" s="765">
        <v>0</v>
      </c>
      <c r="S45" s="763">
        <f t="shared" si="80"/>
        <v>0</v>
      </c>
      <c r="T45" s="766">
        <f t="shared" si="90"/>
        <v>0</v>
      </c>
      <c r="U45" s="763">
        <f t="shared" si="81"/>
        <v>0</v>
      </c>
      <c r="V45" s="763">
        <f t="shared" si="82"/>
        <v>0</v>
      </c>
      <c r="W45" s="767">
        <f>+W44+P45+T45-U45-V45</f>
        <v>0</v>
      </c>
      <c r="X45" s="762">
        <f>'6b-ADIT Projection Proration'!K45</f>
        <v>0</v>
      </c>
      <c r="Y45" s="763">
        <f t="shared" si="84"/>
        <v>0</v>
      </c>
      <c r="Z45" s="763">
        <f t="shared" si="85"/>
        <v>0</v>
      </c>
      <c r="AA45" s="765">
        <v>0</v>
      </c>
      <c r="AB45" s="763">
        <f t="shared" si="86"/>
        <v>0</v>
      </c>
      <c r="AC45" s="766">
        <f t="shared" si="91"/>
        <v>0</v>
      </c>
      <c r="AD45" s="763">
        <f t="shared" si="87"/>
        <v>0</v>
      </c>
      <c r="AE45" s="763">
        <f t="shared" si="88"/>
        <v>0</v>
      </c>
      <c r="AF45" s="767">
        <f>+AF44+Y45+AC45-AD45-AE45</f>
        <v>0</v>
      </c>
    </row>
    <row r="46" spans="1:33">
      <c r="A46" s="759">
        <f t="shared" si="69"/>
        <v>34</v>
      </c>
      <c r="B46" s="746" t="s">
        <v>748</v>
      </c>
      <c r="C46" s="741" t="s">
        <v>303</v>
      </c>
      <c r="D46" s="760">
        <f t="shared" si="70"/>
        <v>2020</v>
      </c>
      <c r="E46" s="761">
        <f>215/365</f>
        <v>0.58904109589041098</v>
      </c>
      <c r="F46" s="762">
        <f>'6b-ADIT Projection Proration'!G46</f>
        <v>0</v>
      </c>
      <c r="G46" s="763">
        <f t="shared" si="71"/>
        <v>0</v>
      </c>
      <c r="H46" s="763">
        <f t="shared" si="72"/>
        <v>0</v>
      </c>
      <c r="I46" s="765">
        <v>0</v>
      </c>
      <c r="J46" s="763">
        <f t="shared" si="73"/>
        <v>0</v>
      </c>
      <c r="K46" s="766">
        <f t="shared" ref="K46:K53" si="92">IF(J46&gt;=0,+J46*0.5,0)</f>
        <v>0</v>
      </c>
      <c r="L46" s="763">
        <f t="shared" ref="L46:L53" si="93">IF(K46&gt;0,0,IF(I46&lt;0,0,(-(J46)*0.5)))</f>
        <v>0</v>
      </c>
      <c r="M46" s="763">
        <f t="shared" si="76"/>
        <v>0</v>
      </c>
      <c r="N46" s="767">
        <f t="shared" ref="N46:N53" si="94">+N45+G46+K46-L46-M46</f>
        <v>0</v>
      </c>
      <c r="O46" s="762">
        <f>'6b-ADIT Projection Proration'!I46</f>
        <v>0</v>
      </c>
      <c r="P46" s="763">
        <f t="shared" si="78"/>
        <v>0</v>
      </c>
      <c r="Q46" s="763">
        <f t="shared" si="79"/>
        <v>0</v>
      </c>
      <c r="R46" s="765">
        <v>0</v>
      </c>
      <c r="S46" s="763">
        <f t="shared" si="80"/>
        <v>0</v>
      </c>
      <c r="T46" s="766">
        <f t="shared" si="90"/>
        <v>0</v>
      </c>
      <c r="U46" s="763">
        <f t="shared" si="81"/>
        <v>0</v>
      </c>
      <c r="V46" s="763">
        <f t="shared" si="82"/>
        <v>0</v>
      </c>
      <c r="W46" s="767">
        <f t="shared" ref="W46:W53" si="95">+W45+P46+T46-U46-V46</f>
        <v>0</v>
      </c>
      <c r="X46" s="762">
        <f>'6b-ADIT Projection Proration'!K46</f>
        <v>0</v>
      </c>
      <c r="Y46" s="763">
        <f t="shared" si="84"/>
        <v>0</v>
      </c>
      <c r="Z46" s="763">
        <f t="shared" si="85"/>
        <v>0</v>
      </c>
      <c r="AA46" s="765">
        <v>0</v>
      </c>
      <c r="AB46" s="763">
        <f t="shared" si="86"/>
        <v>0</v>
      </c>
      <c r="AC46" s="766">
        <f t="shared" si="91"/>
        <v>0</v>
      </c>
      <c r="AD46" s="763">
        <f t="shared" si="87"/>
        <v>0</v>
      </c>
      <c r="AE46" s="763">
        <f t="shared" si="88"/>
        <v>0</v>
      </c>
      <c r="AF46" s="767">
        <f t="shared" ref="AF46:AF53" si="96">+AF45+Y46+AC46-AD46-AE46</f>
        <v>0</v>
      </c>
    </row>
    <row r="47" spans="1:33">
      <c r="A47" s="759">
        <f t="shared" si="69"/>
        <v>35</v>
      </c>
      <c r="B47" s="746" t="s">
        <v>748</v>
      </c>
      <c r="C47" s="741" t="s">
        <v>469</v>
      </c>
      <c r="D47" s="760">
        <f t="shared" si="70"/>
        <v>2020</v>
      </c>
      <c r="E47" s="761">
        <f>185/365</f>
        <v>0.50684931506849318</v>
      </c>
      <c r="F47" s="762">
        <f>'6b-ADIT Projection Proration'!G47</f>
        <v>0</v>
      </c>
      <c r="G47" s="763">
        <f t="shared" si="71"/>
        <v>0</v>
      </c>
      <c r="H47" s="763">
        <f t="shared" si="72"/>
        <v>0</v>
      </c>
      <c r="I47" s="765">
        <v>0</v>
      </c>
      <c r="J47" s="763">
        <f t="shared" si="73"/>
        <v>0</v>
      </c>
      <c r="K47" s="766">
        <f t="shared" si="92"/>
        <v>0</v>
      </c>
      <c r="L47" s="763">
        <f t="shared" si="93"/>
        <v>0</v>
      </c>
      <c r="M47" s="763">
        <f>IF(K47&gt;0,0,IF(I47&gt;0,0,(-(J47)*0.5)))</f>
        <v>0</v>
      </c>
      <c r="N47" s="767">
        <f t="shared" si="94"/>
        <v>0</v>
      </c>
      <c r="O47" s="762">
        <f>'6b-ADIT Projection Proration'!I47</f>
        <v>0</v>
      </c>
      <c r="P47" s="763">
        <f t="shared" si="78"/>
        <v>0</v>
      </c>
      <c r="Q47" s="763">
        <f t="shared" si="79"/>
        <v>0</v>
      </c>
      <c r="R47" s="765">
        <v>0</v>
      </c>
      <c r="S47" s="763">
        <f t="shared" si="80"/>
        <v>0</v>
      </c>
      <c r="T47" s="766">
        <f t="shared" si="90"/>
        <v>0</v>
      </c>
      <c r="U47" s="763">
        <f t="shared" si="81"/>
        <v>0</v>
      </c>
      <c r="V47" s="763">
        <f t="shared" si="82"/>
        <v>0</v>
      </c>
      <c r="W47" s="767">
        <f t="shared" si="95"/>
        <v>0</v>
      </c>
      <c r="X47" s="762">
        <f>'6b-ADIT Projection Proration'!K47</f>
        <v>0</v>
      </c>
      <c r="Y47" s="763">
        <f t="shared" si="84"/>
        <v>0</v>
      </c>
      <c r="Z47" s="763">
        <f t="shared" si="85"/>
        <v>0</v>
      </c>
      <c r="AA47" s="765">
        <v>0</v>
      </c>
      <c r="AB47" s="763">
        <f t="shared" si="86"/>
        <v>0</v>
      </c>
      <c r="AC47" s="766">
        <f t="shared" si="91"/>
        <v>0</v>
      </c>
      <c r="AD47" s="763">
        <f t="shared" si="87"/>
        <v>0</v>
      </c>
      <c r="AE47" s="763">
        <f t="shared" si="88"/>
        <v>0</v>
      </c>
      <c r="AF47" s="767">
        <f t="shared" si="96"/>
        <v>0</v>
      </c>
    </row>
    <row r="48" spans="1:33">
      <c r="A48" s="759">
        <f t="shared" si="69"/>
        <v>36</v>
      </c>
      <c r="B48" s="746" t="s">
        <v>748</v>
      </c>
      <c r="C48" s="741" t="s">
        <v>305</v>
      </c>
      <c r="D48" s="760">
        <f t="shared" si="70"/>
        <v>2020</v>
      </c>
      <c r="E48" s="761">
        <f>154/365</f>
        <v>0.42191780821917807</v>
      </c>
      <c r="F48" s="762">
        <f>'6b-ADIT Projection Proration'!G48</f>
        <v>0</v>
      </c>
      <c r="G48" s="763">
        <f t="shared" si="71"/>
        <v>0</v>
      </c>
      <c r="H48" s="763">
        <f t="shared" si="72"/>
        <v>0</v>
      </c>
      <c r="I48" s="765">
        <v>0</v>
      </c>
      <c r="J48" s="763">
        <f t="shared" si="73"/>
        <v>0</v>
      </c>
      <c r="K48" s="766">
        <f t="shared" si="92"/>
        <v>0</v>
      </c>
      <c r="L48" s="763">
        <f t="shared" si="93"/>
        <v>0</v>
      </c>
      <c r="M48" s="763">
        <f t="shared" ref="M48:M53" si="97">IF(K48&gt;0,0,IF(I48&gt;0,0,(-(J48)*0.5)))</f>
        <v>0</v>
      </c>
      <c r="N48" s="767">
        <f t="shared" si="94"/>
        <v>0</v>
      </c>
      <c r="O48" s="762">
        <f>'6b-ADIT Projection Proration'!I48</f>
        <v>0</v>
      </c>
      <c r="P48" s="763">
        <f t="shared" si="78"/>
        <v>0</v>
      </c>
      <c r="Q48" s="763">
        <f t="shared" si="79"/>
        <v>0</v>
      </c>
      <c r="R48" s="765">
        <v>0</v>
      </c>
      <c r="S48" s="763">
        <f t="shared" si="80"/>
        <v>0</v>
      </c>
      <c r="T48" s="766">
        <f t="shared" si="90"/>
        <v>0</v>
      </c>
      <c r="U48" s="763">
        <f t="shared" si="81"/>
        <v>0</v>
      </c>
      <c r="V48" s="763">
        <f t="shared" si="82"/>
        <v>0</v>
      </c>
      <c r="W48" s="767">
        <f t="shared" si="95"/>
        <v>0</v>
      </c>
      <c r="X48" s="762">
        <f>'6b-ADIT Projection Proration'!K48</f>
        <v>0</v>
      </c>
      <c r="Y48" s="763">
        <f t="shared" si="84"/>
        <v>0</v>
      </c>
      <c r="Z48" s="763">
        <f t="shared" si="85"/>
        <v>0</v>
      </c>
      <c r="AA48" s="765">
        <v>0</v>
      </c>
      <c r="AB48" s="763">
        <f t="shared" si="86"/>
        <v>0</v>
      </c>
      <c r="AC48" s="766">
        <f t="shared" si="91"/>
        <v>0</v>
      </c>
      <c r="AD48" s="763">
        <f t="shared" si="87"/>
        <v>0</v>
      </c>
      <c r="AE48" s="763">
        <f t="shared" si="88"/>
        <v>0</v>
      </c>
      <c r="AF48" s="767">
        <f t="shared" si="96"/>
        <v>0</v>
      </c>
    </row>
    <row r="49" spans="1:32">
      <c r="A49" s="759">
        <f t="shared" si="69"/>
        <v>37</v>
      </c>
      <c r="B49" s="746" t="s">
        <v>748</v>
      </c>
      <c r="C49" s="741" t="s">
        <v>306</v>
      </c>
      <c r="D49" s="760">
        <f t="shared" si="70"/>
        <v>2020</v>
      </c>
      <c r="E49" s="761">
        <f>123/365</f>
        <v>0.33698630136986302</v>
      </c>
      <c r="F49" s="762">
        <f>'6b-ADIT Projection Proration'!G49</f>
        <v>0</v>
      </c>
      <c r="G49" s="763">
        <f t="shared" si="71"/>
        <v>0</v>
      </c>
      <c r="H49" s="763">
        <f t="shared" si="72"/>
        <v>0</v>
      </c>
      <c r="I49" s="765">
        <v>0</v>
      </c>
      <c r="J49" s="763">
        <f t="shared" si="73"/>
        <v>0</v>
      </c>
      <c r="K49" s="766">
        <f t="shared" si="92"/>
        <v>0</v>
      </c>
      <c r="L49" s="763">
        <f t="shared" si="93"/>
        <v>0</v>
      </c>
      <c r="M49" s="763">
        <f t="shared" si="97"/>
        <v>0</v>
      </c>
      <c r="N49" s="767">
        <f t="shared" si="94"/>
        <v>0</v>
      </c>
      <c r="O49" s="762">
        <f>'6b-ADIT Projection Proration'!I49</f>
        <v>0</v>
      </c>
      <c r="P49" s="763">
        <f t="shared" si="78"/>
        <v>0</v>
      </c>
      <c r="Q49" s="763">
        <f t="shared" si="79"/>
        <v>0</v>
      </c>
      <c r="R49" s="765">
        <v>0</v>
      </c>
      <c r="S49" s="763">
        <f t="shared" si="80"/>
        <v>0</v>
      </c>
      <c r="T49" s="766">
        <f t="shared" si="90"/>
        <v>0</v>
      </c>
      <c r="U49" s="763">
        <f t="shared" si="81"/>
        <v>0</v>
      </c>
      <c r="V49" s="763">
        <f t="shared" si="82"/>
        <v>0</v>
      </c>
      <c r="W49" s="767">
        <f t="shared" si="95"/>
        <v>0</v>
      </c>
      <c r="X49" s="762">
        <f>'6b-ADIT Projection Proration'!K49</f>
        <v>0</v>
      </c>
      <c r="Y49" s="763">
        <f t="shared" si="84"/>
        <v>0</v>
      </c>
      <c r="Z49" s="763">
        <f t="shared" si="85"/>
        <v>0</v>
      </c>
      <c r="AA49" s="765">
        <v>0</v>
      </c>
      <c r="AB49" s="763">
        <f t="shared" si="86"/>
        <v>0</v>
      </c>
      <c r="AC49" s="766">
        <f t="shared" si="91"/>
        <v>0</v>
      </c>
      <c r="AD49" s="763">
        <f t="shared" si="87"/>
        <v>0</v>
      </c>
      <c r="AE49" s="763">
        <f t="shared" si="88"/>
        <v>0</v>
      </c>
      <c r="AF49" s="767">
        <f t="shared" si="96"/>
        <v>0</v>
      </c>
    </row>
    <row r="50" spans="1:32">
      <c r="A50" s="759">
        <f t="shared" si="69"/>
        <v>38</v>
      </c>
      <c r="B50" s="746" t="s">
        <v>748</v>
      </c>
      <c r="C50" s="741" t="s">
        <v>307</v>
      </c>
      <c r="D50" s="760">
        <f t="shared" si="70"/>
        <v>2020</v>
      </c>
      <c r="E50" s="761">
        <f>93/365</f>
        <v>0.25479452054794521</v>
      </c>
      <c r="F50" s="762">
        <f>'6b-ADIT Projection Proration'!G50</f>
        <v>0</v>
      </c>
      <c r="G50" s="763">
        <f t="shared" si="71"/>
        <v>0</v>
      </c>
      <c r="H50" s="763">
        <f t="shared" si="72"/>
        <v>0</v>
      </c>
      <c r="I50" s="765">
        <v>0</v>
      </c>
      <c r="J50" s="763">
        <f t="shared" si="73"/>
        <v>0</v>
      </c>
      <c r="K50" s="766">
        <f t="shared" si="92"/>
        <v>0</v>
      </c>
      <c r="L50" s="763">
        <f t="shared" si="93"/>
        <v>0</v>
      </c>
      <c r="M50" s="763">
        <f t="shared" si="97"/>
        <v>0</v>
      </c>
      <c r="N50" s="767">
        <f t="shared" si="94"/>
        <v>0</v>
      </c>
      <c r="O50" s="762">
        <f>'6b-ADIT Projection Proration'!I50</f>
        <v>0</v>
      </c>
      <c r="P50" s="763">
        <f t="shared" si="78"/>
        <v>0</v>
      </c>
      <c r="Q50" s="763">
        <f t="shared" si="79"/>
        <v>0</v>
      </c>
      <c r="R50" s="765">
        <v>0</v>
      </c>
      <c r="S50" s="763">
        <f t="shared" si="80"/>
        <v>0</v>
      </c>
      <c r="T50" s="766">
        <f t="shared" si="90"/>
        <v>0</v>
      </c>
      <c r="U50" s="763">
        <f t="shared" si="81"/>
        <v>0</v>
      </c>
      <c r="V50" s="763">
        <f t="shared" si="82"/>
        <v>0</v>
      </c>
      <c r="W50" s="767">
        <f t="shared" si="95"/>
        <v>0</v>
      </c>
      <c r="X50" s="762">
        <f>'6b-ADIT Projection Proration'!K50</f>
        <v>0</v>
      </c>
      <c r="Y50" s="763">
        <f t="shared" si="84"/>
        <v>0</v>
      </c>
      <c r="Z50" s="763">
        <f t="shared" si="85"/>
        <v>0</v>
      </c>
      <c r="AA50" s="765">
        <v>0</v>
      </c>
      <c r="AB50" s="763">
        <f t="shared" si="86"/>
        <v>0</v>
      </c>
      <c r="AC50" s="766">
        <f t="shared" si="91"/>
        <v>0</v>
      </c>
      <c r="AD50" s="763">
        <f t="shared" si="87"/>
        <v>0</v>
      </c>
      <c r="AE50" s="763">
        <f t="shared" si="88"/>
        <v>0</v>
      </c>
      <c r="AF50" s="767">
        <f t="shared" si="96"/>
        <v>0</v>
      </c>
    </row>
    <row r="51" spans="1:32">
      <c r="A51" s="759">
        <f t="shared" si="69"/>
        <v>39</v>
      </c>
      <c r="B51" s="746" t="s">
        <v>748</v>
      </c>
      <c r="C51" s="741" t="s">
        <v>314</v>
      </c>
      <c r="D51" s="760">
        <f t="shared" si="70"/>
        <v>2020</v>
      </c>
      <c r="E51" s="761">
        <f>62/365</f>
        <v>0.16986301369863013</v>
      </c>
      <c r="F51" s="762">
        <f>'6b-ADIT Projection Proration'!G51</f>
        <v>0</v>
      </c>
      <c r="G51" s="763">
        <f t="shared" si="71"/>
        <v>0</v>
      </c>
      <c r="H51" s="763">
        <f t="shared" si="72"/>
        <v>0</v>
      </c>
      <c r="I51" s="765">
        <v>0</v>
      </c>
      <c r="J51" s="763">
        <f t="shared" si="73"/>
        <v>0</v>
      </c>
      <c r="K51" s="766">
        <f t="shared" si="92"/>
        <v>0</v>
      </c>
      <c r="L51" s="763">
        <f t="shared" si="93"/>
        <v>0</v>
      </c>
      <c r="M51" s="763">
        <f t="shared" si="97"/>
        <v>0</v>
      </c>
      <c r="N51" s="767">
        <f t="shared" si="94"/>
        <v>0</v>
      </c>
      <c r="O51" s="762">
        <f>'6b-ADIT Projection Proration'!I51</f>
        <v>0</v>
      </c>
      <c r="P51" s="763">
        <f t="shared" si="78"/>
        <v>0</v>
      </c>
      <c r="Q51" s="763">
        <f t="shared" si="79"/>
        <v>0</v>
      </c>
      <c r="R51" s="765">
        <v>0</v>
      </c>
      <c r="S51" s="763">
        <f t="shared" si="80"/>
        <v>0</v>
      </c>
      <c r="T51" s="766">
        <f t="shared" si="90"/>
        <v>0</v>
      </c>
      <c r="U51" s="763">
        <f t="shared" si="81"/>
        <v>0</v>
      </c>
      <c r="V51" s="763">
        <f t="shared" si="82"/>
        <v>0</v>
      </c>
      <c r="W51" s="767">
        <f t="shared" si="95"/>
        <v>0</v>
      </c>
      <c r="X51" s="762">
        <f>'6b-ADIT Projection Proration'!K51</f>
        <v>0</v>
      </c>
      <c r="Y51" s="763">
        <f t="shared" si="84"/>
        <v>0</v>
      </c>
      <c r="Z51" s="763">
        <f t="shared" si="85"/>
        <v>0</v>
      </c>
      <c r="AA51" s="765">
        <v>0</v>
      </c>
      <c r="AB51" s="763">
        <f t="shared" si="86"/>
        <v>0</v>
      </c>
      <c r="AC51" s="766">
        <f t="shared" si="91"/>
        <v>0</v>
      </c>
      <c r="AD51" s="763">
        <f t="shared" si="87"/>
        <v>0</v>
      </c>
      <c r="AE51" s="763">
        <f t="shared" si="88"/>
        <v>0</v>
      </c>
      <c r="AF51" s="767">
        <f t="shared" si="96"/>
        <v>0</v>
      </c>
    </row>
    <row r="52" spans="1:32">
      <c r="A52" s="759">
        <f t="shared" si="69"/>
        <v>40</v>
      </c>
      <c r="B52" s="746" t="s">
        <v>748</v>
      </c>
      <c r="C52" s="741" t="s">
        <v>309</v>
      </c>
      <c r="D52" s="760">
        <f t="shared" si="70"/>
        <v>2020</v>
      </c>
      <c r="E52" s="761">
        <f>32/365</f>
        <v>8.7671232876712329E-2</v>
      </c>
      <c r="F52" s="762">
        <f>'6b-ADIT Projection Proration'!G52</f>
        <v>0</v>
      </c>
      <c r="G52" s="763">
        <f t="shared" si="71"/>
        <v>0</v>
      </c>
      <c r="H52" s="763">
        <f t="shared" si="72"/>
        <v>0</v>
      </c>
      <c r="I52" s="765">
        <v>0</v>
      </c>
      <c r="J52" s="763">
        <f t="shared" si="73"/>
        <v>0</v>
      </c>
      <c r="K52" s="766">
        <f t="shared" si="92"/>
        <v>0</v>
      </c>
      <c r="L52" s="763">
        <f t="shared" si="93"/>
        <v>0</v>
      </c>
      <c r="M52" s="763">
        <f t="shared" si="97"/>
        <v>0</v>
      </c>
      <c r="N52" s="767">
        <f t="shared" si="94"/>
        <v>0</v>
      </c>
      <c r="O52" s="762">
        <f>'6b-ADIT Projection Proration'!I52</f>
        <v>0</v>
      </c>
      <c r="P52" s="763">
        <f t="shared" si="78"/>
        <v>0</v>
      </c>
      <c r="Q52" s="763">
        <f t="shared" si="79"/>
        <v>0</v>
      </c>
      <c r="R52" s="765">
        <v>0</v>
      </c>
      <c r="S52" s="763">
        <f t="shared" si="80"/>
        <v>0</v>
      </c>
      <c r="T52" s="766">
        <f t="shared" si="90"/>
        <v>0</v>
      </c>
      <c r="U52" s="763">
        <f t="shared" si="81"/>
        <v>0</v>
      </c>
      <c r="V52" s="763">
        <f t="shared" si="82"/>
        <v>0</v>
      </c>
      <c r="W52" s="767">
        <f t="shared" si="95"/>
        <v>0</v>
      </c>
      <c r="X52" s="762">
        <f>'6b-ADIT Projection Proration'!K52</f>
        <v>0</v>
      </c>
      <c r="Y52" s="763">
        <f t="shared" si="84"/>
        <v>0</v>
      </c>
      <c r="Z52" s="763">
        <f t="shared" si="85"/>
        <v>0</v>
      </c>
      <c r="AA52" s="765">
        <v>0</v>
      </c>
      <c r="AB52" s="763">
        <f t="shared" si="86"/>
        <v>0</v>
      </c>
      <c r="AC52" s="766">
        <f t="shared" si="91"/>
        <v>0</v>
      </c>
      <c r="AD52" s="763">
        <f t="shared" si="87"/>
        <v>0</v>
      </c>
      <c r="AE52" s="763">
        <f t="shared" si="88"/>
        <v>0</v>
      </c>
      <c r="AF52" s="767">
        <f t="shared" si="96"/>
        <v>0</v>
      </c>
    </row>
    <row r="53" spans="1:32">
      <c r="A53" s="759">
        <f t="shared" si="69"/>
        <v>41</v>
      </c>
      <c r="B53" s="746" t="s">
        <v>748</v>
      </c>
      <c r="C53" s="741" t="s">
        <v>296</v>
      </c>
      <c r="D53" s="760">
        <f t="shared" si="70"/>
        <v>2020</v>
      </c>
      <c r="E53" s="761">
        <f>1/365</f>
        <v>2.7397260273972603E-3</v>
      </c>
      <c r="F53" s="768">
        <f>'6b-ADIT Projection Proration'!G53</f>
        <v>0</v>
      </c>
      <c r="G53" s="769">
        <f t="shared" si="71"/>
        <v>0</v>
      </c>
      <c r="H53" s="769">
        <f t="shared" si="72"/>
        <v>0</v>
      </c>
      <c r="I53" s="765">
        <v>0</v>
      </c>
      <c r="J53" s="763">
        <f t="shared" si="73"/>
        <v>0</v>
      </c>
      <c r="K53" s="766">
        <f t="shared" si="92"/>
        <v>0</v>
      </c>
      <c r="L53" s="763">
        <f t="shared" si="93"/>
        <v>0</v>
      </c>
      <c r="M53" s="763">
        <f t="shared" si="97"/>
        <v>0</v>
      </c>
      <c r="N53" s="767">
        <f t="shared" si="94"/>
        <v>0</v>
      </c>
      <c r="O53" s="768">
        <f>'6b-ADIT Projection Proration'!I53</f>
        <v>0</v>
      </c>
      <c r="P53" s="769">
        <f t="shared" si="78"/>
        <v>0</v>
      </c>
      <c r="Q53" s="769">
        <f t="shared" si="79"/>
        <v>0</v>
      </c>
      <c r="R53" s="770">
        <v>0</v>
      </c>
      <c r="S53" s="763">
        <f t="shared" si="80"/>
        <v>0</v>
      </c>
      <c r="T53" s="766">
        <f t="shared" si="90"/>
        <v>0</v>
      </c>
      <c r="U53" s="763">
        <f t="shared" si="81"/>
        <v>0</v>
      </c>
      <c r="V53" s="763">
        <f t="shared" si="82"/>
        <v>0</v>
      </c>
      <c r="W53" s="767">
        <f t="shared" si="95"/>
        <v>0</v>
      </c>
      <c r="X53" s="762">
        <f>'6b-ADIT Projection Proration'!K53</f>
        <v>0</v>
      </c>
      <c r="Y53" s="763">
        <f t="shared" si="84"/>
        <v>0</v>
      </c>
      <c r="Z53" s="763">
        <f t="shared" si="85"/>
        <v>0</v>
      </c>
      <c r="AA53" s="765">
        <v>0</v>
      </c>
      <c r="AB53" s="763">
        <f t="shared" si="86"/>
        <v>0</v>
      </c>
      <c r="AC53" s="766">
        <f t="shared" si="91"/>
        <v>0</v>
      </c>
      <c r="AD53" s="763">
        <f t="shared" si="87"/>
        <v>0</v>
      </c>
      <c r="AE53" s="763">
        <f t="shared" si="88"/>
        <v>0</v>
      </c>
      <c r="AF53" s="767">
        <f t="shared" si="96"/>
        <v>0</v>
      </c>
    </row>
    <row r="54" spans="1:32" ht="13.5" thickBot="1">
      <c r="A54" s="759">
        <f t="shared" si="69"/>
        <v>42</v>
      </c>
      <c r="B54" s="746" t="s">
        <v>755</v>
      </c>
      <c r="F54" s="774">
        <f t="shared" ref="F54:M54" si="98">SUM(F41:F53)</f>
        <v>0</v>
      </c>
      <c r="G54" s="775">
        <f t="shared" si="98"/>
        <v>0</v>
      </c>
      <c r="H54" s="775"/>
      <c r="I54" s="776">
        <f t="shared" si="98"/>
        <v>0</v>
      </c>
      <c r="J54" s="776">
        <f t="shared" si="98"/>
        <v>0</v>
      </c>
      <c r="K54" s="776">
        <f t="shared" si="98"/>
        <v>0</v>
      </c>
      <c r="L54" s="776">
        <f t="shared" si="98"/>
        <v>0</v>
      </c>
      <c r="M54" s="776">
        <f t="shared" si="98"/>
        <v>0</v>
      </c>
      <c r="N54" s="777"/>
      <c r="O54" s="774">
        <f t="shared" ref="O54:P54" si="99">SUM(O41:O53)</f>
        <v>0</v>
      </c>
      <c r="P54" s="775">
        <f t="shared" si="99"/>
        <v>0</v>
      </c>
      <c r="Q54" s="775"/>
      <c r="R54" s="775">
        <f t="shared" ref="R54:V54" si="100">SUM(R41:R53)</f>
        <v>0</v>
      </c>
      <c r="S54" s="776">
        <f t="shared" si="100"/>
        <v>0</v>
      </c>
      <c r="T54" s="776">
        <f t="shared" si="100"/>
        <v>0</v>
      </c>
      <c r="U54" s="776">
        <f t="shared" si="100"/>
        <v>0</v>
      </c>
      <c r="V54" s="776">
        <f t="shared" si="100"/>
        <v>0</v>
      </c>
      <c r="W54" s="777"/>
      <c r="X54" s="778">
        <f t="shared" ref="X54:Y54" si="101">SUM(X41:X53)</f>
        <v>0</v>
      </c>
      <c r="Y54" s="776">
        <f t="shared" si="101"/>
        <v>0</v>
      </c>
      <c r="Z54" s="776"/>
      <c r="AA54" s="776">
        <f t="shared" ref="AA54:AE54" si="102">SUM(AA41:AA53)</f>
        <v>0</v>
      </c>
      <c r="AB54" s="776">
        <f t="shared" si="102"/>
        <v>0</v>
      </c>
      <c r="AC54" s="776">
        <f t="shared" si="102"/>
        <v>0</v>
      </c>
      <c r="AD54" s="776">
        <f t="shared" si="102"/>
        <v>0</v>
      </c>
      <c r="AE54" s="776">
        <f t="shared" si="102"/>
        <v>0</v>
      </c>
      <c r="AF54" s="777"/>
    </row>
    <row r="55" spans="1:32">
      <c r="B55" s="741"/>
      <c r="F55" s="763"/>
      <c r="G55" s="763"/>
      <c r="H55" s="763"/>
      <c r="I55" s="763"/>
      <c r="J55" s="763"/>
      <c r="K55" s="763"/>
      <c r="L55" s="763"/>
      <c r="M55" s="763"/>
      <c r="N55" s="763"/>
      <c r="O55" s="771"/>
      <c r="P55" s="779"/>
      <c r="Q55" s="771"/>
      <c r="R55" s="779"/>
      <c r="S55" s="779"/>
      <c r="T55" s="779"/>
      <c r="U55" s="779"/>
      <c r="V55" s="779"/>
      <c r="W55" s="779"/>
      <c r="X55" s="771"/>
      <c r="Y55" s="779"/>
    </row>
    <row r="56" spans="1:32">
      <c r="B56" s="741"/>
    </row>
    <row r="57" spans="1:32">
      <c r="A57" s="780" t="s">
        <v>246</v>
      </c>
      <c r="B57" s="741" t="s">
        <v>756</v>
      </c>
    </row>
    <row r="58" spans="1:32">
      <c r="A58" s="780" t="s">
        <v>248</v>
      </c>
      <c r="B58" s="741" t="s">
        <v>757</v>
      </c>
      <c r="D58" s="781"/>
      <c r="E58" s="781"/>
      <c r="F58" s="781"/>
      <c r="G58" s="781"/>
      <c r="H58" s="781"/>
      <c r="I58" s="781"/>
      <c r="J58" s="781"/>
      <c r="K58" s="781"/>
      <c r="L58" s="781"/>
      <c r="M58" s="781"/>
      <c r="N58" s="781"/>
    </row>
    <row r="59" spans="1:32">
      <c r="A59" s="782" t="s">
        <v>186</v>
      </c>
      <c r="B59" s="741" t="s">
        <v>758</v>
      </c>
      <c r="D59" s="781"/>
      <c r="E59" s="781"/>
      <c r="F59" s="781"/>
      <c r="G59" s="781"/>
      <c r="H59" s="781"/>
      <c r="I59" s="781"/>
      <c r="J59" s="781"/>
      <c r="K59" s="781"/>
      <c r="L59" s="781"/>
      <c r="M59" s="781"/>
      <c r="N59" s="781"/>
    </row>
    <row r="60" spans="1:32">
      <c r="A60" s="782" t="s">
        <v>188</v>
      </c>
      <c r="B60" s="741" t="s">
        <v>826</v>
      </c>
      <c r="D60" s="781"/>
      <c r="E60" s="781"/>
      <c r="F60" s="781"/>
      <c r="G60" s="781"/>
      <c r="H60" s="781"/>
      <c r="I60" s="781"/>
      <c r="J60" s="781"/>
      <c r="K60" s="781"/>
      <c r="L60" s="781"/>
      <c r="M60" s="781"/>
      <c r="N60" s="781"/>
    </row>
    <row r="61" spans="1:32">
      <c r="A61" s="782" t="s">
        <v>190</v>
      </c>
      <c r="B61" s="746" t="s">
        <v>827</v>
      </c>
      <c r="D61" s="745"/>
      <c r="E61" s="745"/>
    </row>
    <row r="62" spans="1:32">
      <c r="D62" s="763"/>
      <c r="E62" s="763"/>
    </row>
    <row r="63" spans="1:32">
      <c r="D63" s="763"/>
      <c r="E63" s="763"/>
    </row>
    <row r="64" spans="1:32">
      <c r="D64" s="763"/>
      <c r="E64" s="763"/>
    </row>
    <row r="65" spans="2:24">
      <c r="D65" s="763"/>
      <c r="E65" s="763"/>
    </row>
    <row r="66" spans="2:24">
      <c r="D66" s="763"/>
      <c r="E66" s="763"/>
      <c r="O66" s="763"/>
      <c r="P66" s="763"/>
      <c r="Q66" s="763"/>
      <c r="R66" s="763"/>
      <c r="S66" s="763"/>
      <c r="T66" s="763"/>
      <c r="U66" s="763"/>
      <c r="V66" s="763"/>
      <c r="W66" s="763"/>
      <c r="X66" s="763"/>
    </row>
    <row r="67" spans="2:24">
      <c r="D67" s="763"/>
      <c r="E67" s="763"/>
    </row>
    <row r="68" spans="2:24">
      <c r="D68" s="763"/>
      <c r="E68" s="763"/>
    </row>
    <row r="69" spans="2:24">
      <c r="D69" s="763"/>
      <c r="E69" s="763"/>
    </row>
    <row r="70" spans="2:24">
      <c r="D70" s="763"/>
      <c r="E70" s="763"/>
    </row>
    <row r="71" spans="2:24">
      <c r="D71" s="763"/>
      <c r="E71" s="763"/>
    </row>
    <row r="72" spans="2:24">
      <c r="B72" s="741"/>
      <c r="D72" s="763"/>
      <c r="E72" s="763"/>
    </row>
    <row r="73" spans="2:24">
      <c r="D73" s="763"/>
      <c r="E73" s="763"/>
    </row>
    <row r="74" spans="2:24">
      <c r="B74" s="741"/>
      <c r="D74" s="763"/>
      <c r="E74" s="763"/>
    </row>
  </sheetData>
  <mergeCells count="6">
    <mergeCell ref="A1:N1"/>
    <mergeCell ref="A2:N2"/>
    <mergeCell ref="A3:N3"/>
    <mergeCell ref="F5:N5"/>
    <mergeCell ref="O5:W5"/>
    <mergeCell ref="X5:AF5"/>
  </mergeCells>
  <printOptions horizontalCentered="1"/>
  <pageMargins left="0.5" right="0.5" top="0.5" bottom="0.5" header="0.25" footer="0.25"/>
  <pageSetup paperSize="5" scale="49" fitToHeight="0" orientation="landscape"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655CA-C8FA-494B-B44E-DD2F5510C660}">
  <sheetPr>
    <pageSetUpPr fitToPage="1"/>
  </sheetPr>
  <dimension ref="A1:Z48"/>
  <sheetViews>
    <sheetView view="pageBreakPreview" zoomScaleNormal="100" zoomScaleSheetLayoutView="100" workbookViewId="0">
      <selection activeCell="G16" sqref="G16"/>
    </sheetView>
  </sheetViews>
  <sheetFormatPr defaultColWidth="7.109375" defaultRowHeight="11.25"/>
  <cols>
    <col min="1" max="1" width="2.5546875" style="783" customWidth="1"/>
    <col min="2" max="2" width="7.6640625" style="810" customWidth="1"/>
    <col min="3" max="3" width="32.21875" style="810" customWidth="1"/>
    <col min="4" max="4" width="7.44140625" style="810" customWidth="1"/>
    <col min="5" max="16" width="7.44140625" style="816" customWidth="1"/>
    <col min="17" max="17" width="8.44140625" style="816" customWidth="1"/>
    <col min="18" max="18" width="1.44140625" style="816" customWidth="1"/>
    <col min="19" max="19" width="10" style="816" customWidth="1"/>
    <col min="20" max="20" width="1.44140625" style="816" customWidth="1"/>
    <col min="21" max="21" width="9.77734375" style="816" customWidth="1"/>
    <col min="22" max="22" width="1.44140625" style="783" customWidth="1"/>
    <col min="23" max="23" width="7.44140625" style="783" customWidth="1"/>
    <col min="24" max="16384" width="7.109375" style="783"/>
  </cols>
  <sheetData>
    <row r="1" spans="1:23" ht="15">
      <c r="A1" s="627" t="s">
        <v>828</v>
      </c>
      <c r="B1" s="627"/>
      <c r="C1" s="627"/>
      <c r="D1" s="627"/>
      <c r="E1" s="627"/>
      <c r="F1" s="627"/>
      <c r="G1" s="627"/>
      <c r="H1" s="627"/>
      <c r="I1" s="627"/>
      <c r="J1" s="627"/>
      <c r="K1" s="627"/>
      <c r="L1" s="627" t="s">
        <v>828</v>
      </c>
      <c r="M1" s="627"/>
      <c r="N1" s="627"/>
      <c r="O1" s="627"/>
      <c r="P1" s="627"/>
      <c r="Q1" s="627"/>
      <c r="R1" s="627"/>
      <c r="S1" s="627"/>
      <c r="T1" s="627"/>
      <c r="U1" s="627"/>
      <c r="V1" s="627"/>
      <c r="W1" s="627"/>
    </row>
    <row r="2" spans="1:23" ht="15.75">
      <c r="A2" s="784"/>
      <c r="B2" s="784"/>
      <c r="C2" s="784"/>
      <c r="D2" s="784"/>
      <c r="E2" s="784"/>
      <c r="F2" s="784"/>
      <c r="G2" s="784"/>
      <c r="H2" s="784"/>
      <c r="I2" s="784"/>
      <c r="J2" s="784"/>
      <c r="K2" s="784"/>
      <c r="L2" s="784"/>
      <c r="M2" s="784"/>
      <c r="N2" s="784"/>
      <c r="O2" s="784"/>
      <c r="P2" s="784"/>
      <c r="Q2" s="784"/>
      <c r="R2" s="784"/>
      <c r="S2" s="784"/>
      <c r="T2" s="784"/>
      <c r="U2" s="784"/>
      <c r="V2" s="784"/>
      <c r="W2" s="784"/>
    </row>
    <row r="3" spans="1:23" ht="15.75">
      <c r="A3" s="785"/>
      <c r="B3" s="786"/>
      <c r="C3" s="111" t="s">
        <v>829</v>
      </c>
      <c r="D3" s="111"/>
      <c r="E3" s="111"/>
      <c r="F3" s="111"/>
      <c r="G3" s="111"/>
      <c r="H3" s="786"/>
      <c r="I3" s="786"/>
      <c r="J3" s="786"/>
      <c r="K3" s="786"/>
      <c r="L3" s="786"/>
      <c r="M3" s="786"/>
      <c r="N3" s="111" t="s">
        <v>524</v>
      </c>
      <c r="O3" s="111"/>
      <c r="P3" s="111"/>
      <c r="Q3" s="111"/>
      <c r="R3" s="111"/>
      <c r="S3" s="111"/>
      <c r="T3" s="111"/>
      <c r="U3" s="111"/>
      <c r="V3" s="786"/>
      <c r="W3" s="786"/>
    </row>
    <row r="5" spans="1:23" s="787" customFormat="1">
      <c r="B5" s="788" t="s">
        <v>174</v>
      </c>
      <c r="C5" s="789" t="s">
        <v>370</v>
      </c>
      <c r="D5" s="790" t="s">
        <v>830</v>
      </c>
      <c r="E5" s="790" t="s">
        <v>714</v>
      </c>
      <c r="F5" s="790" t="s">
        <v>831</v>
      </c>
      <c r="G5" s="790" t="s">
        <v>716</v>
      </c>
      <c r="H5" s="790" t="s">
        <v>717</v>
      </c>
      <c r="I5" s="790" t="s">
        <v>737</v>
      </c>
      <c r="J5" s="790" t="s">
        <v>738</v>
      </c>
      <c r="K5" s="790" t="s">
        <v>739</v>
      </c>
      <c r="L5" s="790" t="s">
        <v>740</v>
      </c>
      <c r="M5" s="790" t="s">
        <v>809</v>
      </c>
      <c r="N5" s="790" t="s">
        <v>810</v>
      </c>
      <c r="O5" s="790" t="s">
        <v>832</v>
      </c>
      <c r="P5" s="790" t="s">
        <v>833</v>
      </c>
      <c r="Q5" s="789" t="s">
        <v>834</v>
      </c>
      <c r="S5" s="787" t="s">
        <v>835</v>
      </c>
      <c r="U5" s="787" t="s">
        <v>836</v>
      </c>
      <c r="W5" s="787" t="s">
        <v>837</v>
      </c>
    </row>
    <row r="6" spans="1:23" s="795" customFormat="1" ht="36.75" customHeight="1">
      <c r="A6" s="791" t="s">
        <v>43</v>
      </c>
      <c r="B6" s="791" t="s">
        <v>838</v>
      </c>
      <c r="C6" s="792" t="s">
        <v>839</v>
      </c>
      <c r="D6" s="793" t="s">
        <v>840</v>
      </c>
      <c r="E6" s="794" t="s">
        <v>841</v>
      </c>
      <c r="F6" s="794" t="s">
        <v>842</v>
      </c>
      <c r="G6" s="794" t="s">
        <v>843</v>
      </c>
      <c r="H6" s="794" t="s">
        <v>844</v>
      </c>
      <c r="I6" s="794" t="s">
        <v>845</v>
      </c>
      <c r="J6" s="794" t="s">
        <v>846</v>
      </c>
      <c r="K6" s="794" t="s">
        <v>847</v>
      </c>
      <c r="L6" s="794" t="s">
        <v>848</v>
      </c>
      <c r="M6" s="794" t="s">
        <v>849</v>
      </c>
      <c r="N6" s="794" t="s">
        <v>850</v>
      </c>
      <c r="O6" s="794" t="s">
        <v>851</v>
      </c>
      <c r="P6" s="794" t="s">
        <v>840</v>
      </c>
      <c r="Q6" s="791" t="s">
        <v>852</v>
      </c>
      <c r="R6" s="791" t="s">
        <v>853</v>
      </c>
      <c r="S6" s="791" t="s">
        <v>854</v>
      </c>
      <c r="T6" s="791" t="s">
        <v>853</v>
      </c>
      <c r="U6" s="791" t="s">
        <v>855</v>
      </c>
      <c r="V6" s="791" t="s">
        <v>164</v>
      </c>
      <c r="W6" s="791" t="s">
        <v>856</v>
      </c>
    </row>
    <row r="7" spans="1:23" s="795" customFormat="1" ht="28.5" customHeight="1">
      <c r="A7" s="791"/>
      <c r="B7" s="791"/>
      <c r="C7" s="796"/>
      <c r="D7" s="797">
        <f>E7-1</f>
        <v>2019</v>
      </c>
      <c r="E7" s="798">
        <v>2020</v>
      </c>
      <c r="F7" s="798">
        <v>2020</v>
      </c>
      <c r="G7" s="798">
        <v>2020</v>
      </c>
      <c r="H7" s="798">
        <v>2020</v>
      </c>
      <c r="I7" s="798">
        <v>2020</v>
      </c>
      <c r="J7" s="798">
        <v>2020</v>
      </c>
      <c r="K7" s="798">
        <v>2020</v>
      </c>
      <c r="L7" s="798">
        <v>2020</v>
      </c>
      <c r="M7" s="798">
        <v>2020</v>
      </c>
      <c r="N7" s="798">
        <v>2020</v>
      </c>
      <c r="O7" s="798">
        <v>2020</v>
      </c>
      <c r="P7" s="798">
        <v>2020</v>
      </c>
      <c r="Q7" s="791"/>
      <c r="R7" s="791"/>
      <c r="S7" s="791"/>
      <c r="T7" s="791"/>
      <c r="U7" s="791"/>
      <c r="V7" s="791"/>
      <c r="W7" s="791"/>
    </row>
    <row r="8" spans="1:23" ht="18" customHeight="1">
      <c r="A8" s="783" t="s">
        <v>257</v>
      </c>
      <c r="B8" s="799"/>
      <c r="C8" s="800"/>
      <c r="D8" s="800"/>
      <c r="E8" s="800"/>
      <c r="F8" s="800"/>
      <c r="G8" s="800"/>
      <c r="H8" s="800"/>
      <c r="I8" s="800"/>
      <c r="J8" s="800"/>
      <c r="K8" s="800"/>
      <c r="L8" s="800"/>
      <c r="M8" s="800"/>
      <c r="N8" s="800"/>
      <c r="O8" s="800"/>
      <c r="P8" s="800"/>
      <c r="Q8" s="801">
        <f t="shared" ref="Q8:Q32" si="0">IFERROR(SUM(D8:P8)/13,0)</f>
        <v>0</v>
      </c>
      <c r="R8" s="802"/>
      <c r="S8" s="803"/>
      <c r="T8" s="802"/>
      <c r="U8" s="803"/>
      <c r="V8" s="804"/>
      <c r="W8" s="805">
        <f t="shared" ref="W8:W32" si="1">Q8*S8*U8</f>
        <v>0</v>
      </c>
    </row>
    <row r="9" spans="1:23" ht="15" customHeight="1">
      <c r="A9" s="783" t="s">
        <v>857</v>
      </c>
      <c r="B9" s="806"/>
      <c r="C9" s="807"/>
      <c r="D9" s="807"/>
      <c r="E9" s="807"/>
      <c r="F9" s="807"/>
      <c r="G9" s="807"/>
      <c r="H9" s="807"/>
      <c r="I9" s="807"/>
      <c r="J9" s="807"/>
      <c r="K9" s="807"/>
      <c r="L9" s="807"/>
      <c r="M9" s="807"/>
      <c r="N9" s="807"/>
      <c r="O9" s="807"/>
      <c r="P9" s="807"/>
      <c r="Q9" s="801">
        <f t="shared" si="0"/>
        <v>0</v>
      </c>
      <c r="R9" s="801"/>
      <c r="S9" s="808"/>
      <c r="T9" s="801"/>
      <c r="U9" s="808"/>
      <c r="V9" s="809"/>
      <c r="W9" s="805">
        <f t="shared" si="1"/>
        <v>0</v>
      </c>
    </row>
    <row r="10" spans="1:23">
      <c r="A10" s="783" t="s">
        <v>858</v>
      </c>
      <c r="B10" s="806"/>
      <c r="C10" s="807"/>
      <c r="D10" s="807"/>
      <c r="E10" s="807"/>
      <c r="F10" s="807"/>
      <c r="G10" s="807"/>
      <c r="H10" s="807"/>
      <c r="I10" s="807"/>
      <c r="J10" s="807"/>
      <c r="K10" s="807"/>
      <c r="L10" s="807"/>
      <c r="M10" s="807"/>
      <c r="N10" s="807"/>
      <c r="O10" s="807"/>
      <c r="P10" s="807"/>
      <c r="Q10" s="801">
        <f t="shared" si="0"/>
        <v>0</v>
      </c>
      <c r="R10" s="801"/>
      <c r="S10" s="808"/>
      <c r="T10" s="801"/>
      <c r="U10" s="808"/>
      <c r="V10" s="809"/>
      <c r="W10" s="805">
        <f t="shared" si="1"/>
        <v>0</v>
      </c>
    </row>
    <row r="11" spans="1:23">
      <c r="A11" s="783" t="s">
        <v>259</v>
      </c>
      <c r="B11" s="806"/>
      <c r="C11" s="807"/>
      <c r="D11" s="807"/>
      <c r="E11" s="807"/>
      <c r="F11" s="807"/>
      <c r="G11" s="807"/>
      <c r="H11" s="807"/>
      <c r="I11" s="807"/>
      <c r="J11" s="807"/>
      <c r="K11" s="807"/>
      <c r="L11" s="807"/>
      <c r="M11" s="807"/>
      <c r="N11" s="807"/>
      <c r="O11" s="807"/>
      <c r="P11" s="807"/>
      <c r="Q11" s="801">
        <f t="shared" si="0"/>
        <v>0</v>
      </c>
      <c r="R11" s="801"/>
      <c r="S11" s="808"/>
      <c r="T11" s="801"/>
      <c r="U11" s="808"/>
      <c r="V11" s="809"/>
      <c r="W11" s="805">
        <f t="shared" si="1"/>
        <v>0</v>
      </c>
    </row>
    <row r="12" spans="1:23">
      <c r="A12" s="783" t="s">
        <v>259</v>
      </c>
      <c r="B12" s="806"/>
      <c r="C12" s="807"/>
      <c r="D12" s="807"/>
      <c r="E12" s="807"/>
      <c r="F12" s="807"/>
      <c r="G12" s="807"/>
      <c r="H12" s="807"/>
      <c r="I12" s="807"/>
      <c r="J12" s="807"/>
      <c r="K12" s="807"/>
      <c r="L12" s="807"/>
      <c r="M12" s="807"/>
      <c r="N12" s="807"/>
      <c r="O12" s="807"/>
      <c r="P12" s="807"/>
      <c r="Q12" s="801">
        <f t="shared" si="0"/>
        <v>0</v>
      </c>
      <c r="R12" s="801"/>
      <c r="S12" s="808"/>
      <c r="T12" s="801"/>
      <c r="U12" s="808"/>
      <c r="V12" s="809"/>
      <c r="W12" s="805">
        <f t="shared" si="1"/>
        <v>0</v>
      </c>
    </row>
    <row r="13" spans="1:23">
      <c r="A13" s="783" t="s">
        <v>259</v>
      </c>
      <c r="B13" s="806"/>
      <c r="C13" s="807"/>
      <c r="D13" s="807"/>
      <c r="E13" s="807"/>
      <c r="F13" s="807"/>
      <c r="G13" s="807"/>
      <c r="H13" s="807"/>
      <c r="I13" s="807"/>
      <c r="J13" s="807"/>
      <c r="K13" s="807"/>
      <c r="L13" s="807"/>
      <c r="M13" s="807"/>
      <c r="N13" s="807"/>
      <c r="O13" s="807"/>
      <c r="P13" s="807"/>
      <c r="Q13" s="801">
        <f t="shared" si="0"/>
        <v>0</v>
      </c>
      <c r="R13" s="801"/>
      <c r="S13" s="808"/>
      <c r="T13" s="801"/>
      <c r="U13" s="808"/>
      <c r="V13" s="809"/>
      <c r="W13" s="805">
        <f t="shared" si="1"/>
        <v>0</v>
      </c>
    </row>
    <row r="14" spans="1:23">
      <c r="A14" s="783" t="s">
        <v>259</v>
      </c>
      <c r="B14" s="806"/>
      <c r="C14" s="807"/>
      <c r="D14" s="807"/>
      <c r="E14" s="807"/>
      <c r="F14" s="807"/>
      <c r="G14" s="807"/>
      <c r="H14" s="807"/>
      <c r="I14" s="807"/>
      <c r="J14" s="807"/>
      <c r="K14" s="807"/>
      <c r="L14" s="807"/>
      <c r="M14" s="807"/>
      <c r="N14" s="807"/>
      <c r="O14" s="807"/>
      <c r="P14" s="807"/>
      <c r="Q14" s="801">
        <f t="shared" si="0"/>
        <v>0</v>
      </c>
      <c r="R14" s="801"/>
      <c r="S14" s="808"/>
      <c r="T14" s="801"/>
      <c r="U14" s="808"/>
      <c r="V14" s="809"/>
      <c r="W14" s="805">
        <f t="shared" si="1"/>
        <v>0</v>
      </c>
    </row>
    <row r="15" spans="1:23">
      <c r="A15" s="783" t="s">
        <v>259</v>
      </c>
      <c r="B15" s="806"/>
      <c r="C15" s="807"/>
      <c r="D15" s="807"/>
      <c r="E15" s="807"/>
      <c r="F15" s="807"/>
      <c r="G15" s="807"/>
      <c r="H15" s="807"/>
      <c r="I15" s="807"/>
      <c r="J15" s="807"/>
      <c r="K15" s="807"/>
      <c r="L15" s="807"/>
      <c r="M15" s="807"/>
      <c r="N15" s="807"/>
      <c r="O15" s="807"/>
      <c r="P15" s="807"/>
      <c r="Q15" s="801">
        <f t="shared" si="0"/>
        <v>0</v>
      </c>
      <c r="R15" s="801"/>
      <c r="S15" s="808"/>
      <c r="T15" s="801"/>
      <c r="U15" s="808"/>
      <c r="V15" s="809"/>
      <c r="W15" s="805">
        <f t="shared" si="1"/>
        <v>0</v>
      </c>
    </row>
    <row r="16" spans="1:23">
      <c r="A16" s="783" t="s">
        <v>259</v>
      </c>
      <c r="B16" s="806"/>
      <c r="C16" s="807"/>
      <c r="D16" s="807"/>
      <c r="E16" s="807"/>
      <c r="F16" s="807"/>
      <c r="G16" s="807"/>
      <c r="H16" s="807"/>
      <c r="I16" s="807"/>
      <c r="J16" s="807"/>
      <c r="K16" s="807"/>
      <c r="L16" s="807"/>
      <c r="M16" s="807"/>
      <c r="N16" s="807"/>
      <c r="O16" s="807"/>
      <c r="P16" s="807"/>
      <c r="Q16" s="801">
        <f t="shared" si="0"/>
        <v>0</v>
      </c>
      <c r="R16" s="801"/>
      <c r="S16" s="808"/>
      <c r="T16" s="801"/>
      <c r="U16" s="808"/>
      <c r="V16" s="809"/>
      <c r="W16" s="805">
        <f t="shared" si="1"/>
        <v>0</v>
      </c>
    </row>
    <row r="17" spans="1:23">
      <c r="A17" s="783" t="s">
        <v>259</v>
      </c>
      <c r="B17" s="806"/>
      <c r="C17" s="807"/>
      <c r="D17" s="807"/>
      <c r="E17" s="807"/>
      <c r="F17" s="807"/>
      <c r="G17" s="807"/>
      <c r="H17" s="807"/>
      <c r="I17" s="807"/>
      <c r="J17" s="807"/>
      <c r="K17" s="807"/>
      <c r="L17" s="807"/>
      <c r="M17" s="807"/>
      <c r="N17" s="807"/>
      <c r="O17" s="807"/>
      <c r="P17" s="807"/>
      <c r="Q17" s="801">
        <f t="shared" si="0"/>
        <v>0</v>
      </c>
      <c r="R17" s="801"/>
      <c r="S17" s="808"/>
      <c r="T17" s="801"/>
      <c r="U17" s="808"/>
      <c r="V17" s="809"/>
      <c r="W17" s="805">
        <f t="shared" si="1"/>
        <v>0</v>
      </c>
    </row>
    <row r="18" spans="1:23">
      <c r="A18" s="783" t="s">
        <v>259</v>
      </c>
      <c r="B18" s="806"/>
      <c r="C18" s="807"/>
      <c r="D18" s="807"/>
      <c r="E18" s="807"/>
      <c r="F18" s="807"/>
      <c r="G18" s="807"/>
      <c r="H18" s="807"/>
      <c r="I18" s="807"/>
      <c r="J18" s="807"/>
      <c r="K18" s="807"/>
      <c r="L18" s="807"/>
      <c r="M18" s="807"/>
      <c r="N18" s="807"/>
      <c r="O18" s="807"/>
      <c r="P18" s="807"/>
      <c r="Q18" s="801">
        <f t="shared" si="0"/>
        <v>0</v>
      </c>
      <c r="R18" s="801"/>
      <c r="S18" s="808"/>
      <c r="T18" s="801"/>
      <c r="U18" s="808"/>
      <c r="V18" s="809"/>
      <c r="W18" s="805">
        <f t="shared" si="1"/>
        <v>0</v>
      </c>
    </row>
    <row r="19" spans="1:23">
      <c r="A19" s="783" t="s">
        <v>259</v>
      </c>
      <c r="B19" s="806"/>
      <c r="C19" s="807"/>
      <c r="D19" s="807"/>
      <c r="E19" s="807"/>
      <c r="F19" s="807"/>
      <c r="G19" s="807"/>
      <c r="H19" s="807"/>
      <c r="I19" s="807"/>
      <c r="J19" s="807"/>
      <c r="K19" s="807"/>
      <c r="L19" s="807"/>
      <c r="M19" s="807"/>
      <c r="N19" s="807"/>
      <c r="O19" s="807"/>
      <c r="P19" s="807"/>
      <c r="Q19" s="801">
        <f t="shared" si="0"/>
        <v>0</v>
      </c>
      <c r="R19" s="801"/>
      <c r="S19" s="808"/>
      <c r="T19" s="801"/>
      <c r="U19" s="808"/>
      <c r="V19" s="809"/>
      <c r="W19" s="805">
        <f t="shared" si="1"/>
        <v>0</v>
      </c>
    </row>
    <row r="20" spans="1:23">
      <c r="A20" s="783" t="s">
        <v>259</v>
      </c>
      <c r="B20" s="806"/>
      <c r="C20" s="807"/>
      <c r="D20" s="807"/>
      <c r="E20" s="807"/>
      <c r="F20" s="807"/>
      <c r="G20" s="807"/>
      <c r="H20" s="807"/>
      <c r="I20" s="807"/>
      <c r="J20" s="807"/>
      <c r="K20" s="807"/>
      <c r="L20" s="807"/>
      <c r="M20" s="807"/>
      <c r="N20" s="807"/>
      <c r="O20" s="807"/>
      <c r="P20" s="807"/>
      <c r="Q20" s="801">
        <f t="shared" si="0"/>
        <v>0</v>
      </c>
      <c r="R20" s="801"/>
      <c r="S20" s="808"/>
      <c r="T20" s="801"/>
      <c r="U20" s="808"/>
      <c r="V20" s="809"/>
      <c r="W20" s="805">
        <f t="shared" si="1"/>
        <v>0</v>
      </c>
    </row>
    <row r="21" spans="1:23">
      <c r="A21" s="783" t="s">
        <v>259</v>
      </c>
      <c r="B21" s="806"/>
      <c r="C21" s="807"/>
      <c r="D21" s="807"/>
      <c r="E21" s="807"/>
      <c r="F21" s="807"/>
      <c r="G21" s="807"/>
      <c r="H21" s="807"/>
      <c r="I21" s="807"/>
      <c r="J21" s="807"/>
      <c r="K21" s="807"/>
      <c r="L21" s="807"/>
      <c r="M21" s="807"/>
      <c r="N21" s="807"/>
      <c r="O21" s="807"/>
      <c r="P21" s="807"/>
      <c r="Q21" s="801">
        <f t="shared" si="0"/>
        <v>0</v>
      </c>
      <c r="R21" s="801"/>
      <c r="S21" s="808"/>
      <c r="T21" s="801"/>
      <c r="U21" s="808"/>
      <c r="V21" s="809"/>
      <c r="W21" s="805">
        <f t="shared" si="1"/>
        <v>0</v>
      </c>
    </row>
    <row r="22" spans="1:23">
      <c r="A22" s="783" t="s">
        <v>259</v>
      </c>
      <c r="B22" s="806"/>
      <c r="C22" s="807"/>
      <c r="D22" s="807"/>
      <c r="E22" s="807"/>
      <c r="F22" s="807"/>
      <c r="G22" s="807"/>
      <c r="H22" s="807"/>
      <c r="I22" s="807"/>
      <c r="J22" s="807"/>
      <c r="K22" s="807"/>
      <c r="L22" s="807"/>
      <c r="M22" s="807"/>
      <c r="N22" s="807"/>
      <c r="O22" s="807"/>
      <c r="P22" s="807"/>
      <c r="Q22" s="801">
        <f t="shared" si="0"/>
        <v>0</v>
      </c>
      <c r="R22" s="801"/>
      <c r="S22" s="808"/>
      <c r="T22" s="801"/>
      <c r="U22" s="808"/>
      <c r="V22" s="809"/>
      <c r="W22" s="805">
        <f t="shared" si="1"/>
        <v>0</v>
      </c>
    </row>
    <row r="23" spans="1:23">
      <c r="A23" s="783" t="s">
        <v>259</v>
      </c>
      <c r="B23" s="806"/>
      <c r="C23" s="807"/>
      <c r="D23" s="807"/>
      <c r="E23" s="807"/>
      <c r="F23" s="807"/>
      <c r="G23" s="807"/>
      <c r="H23" s="807"/>
      <c r="I23" s="807"/>
      <c r="J23" s="807"/>
      <c r="K23" s="807"/>
      <c r="L23" s="807"/>
      <c r="M23" s="807"/>
      <c r="N23" s="807"/>
      <c r="O23" s="807"/>
      <c r="P23" s="807"/>
      <c r="Q23" s="801">
        <f t="shared" si="0"/>
        <v>0</v>
      </c>
      <c r="R23" s="801"/>
      <c r="S23" s="808"/>
      <c r="T23" s="801"/>
      <c r="U23" s="808"/>
      <c r="V23" s="809"/>
      <c r="W23" s="805">
        <f t="shared" si="1"/>
        <v>0</v>
      </c>
    </row>
    <row r="24" spans="1:23">
      <c r="A24" s="783" t="s">
        <v>259</v>
      </c>
      <c r="B24" s="806"/>
      <c r="C24" s="807"/>
      <c r="D24" s="807"/>
      <c r="E24" s="807"/>
      <c r="F24" s="807"/>
      <c r="G24" s="807"/>
      <c r="H24" s="807"/>
      <c r="I24" s="807"/>
      <c r="J24" s="807"/>
      <c r="K24" s="807"/>
      <c r="L24" s="807"/>
      <c r="M24" s="807"/>
      <c r="N24" s="807"/>
      <c r="O24" s="807"/>
      <c r="P24" s="807"/>
      <c r="Q24" s="801">
        <f t="shared" si="0"/>
        <v>0</v>
      </c>
      <c r="R24" s="801"/>
      <c r="S24" s="808"/>
      <c r="T24" s="801"/>
      <c r="U24" s="808"/>
      <c r="V24" s="809"/>
      <c r="W24" s="805">
        <f t="shared" si="1"/>
        <v>0</v>
      </c>
    </row>
    <row r="25" spans="1:23">
      <c r="A25" s="783" t="s">
        <v>259</v>
      </c>
      <c r="B25" s="806"/>
      <c r="C25" s="807"/>
      <c r="D25" s="807"/>
      <c r="E25" s="807"/>
      <c r="F25" s="807"/>
      <c r="G25" s="807"/>
      <c r="H25" s="807"/>
      <c r="I25" s="807"/>
      <c r="J25" s="807"/>
      <c r="K25" s="807"/>
      <c r="L25" s="807"/>
      <c r="M25" s="807"/>
      <c r="N25" s="807"/>
      <c r="O25" s="807"/>
      <c r="P25" s="807"/>
      <c r="Q25" s="801">
        <f t="shared" si="0"/>
        <v>0</v>
      </c>
      <c r="R25" s="801"/>
      <c r="S25" s="808"/>
      <c r="T25" s="801"/>
      <c r="U25" s="808"/>
      <c r="V25" s="809"/>
      <c r="W25" s="805">
        <f t="shared" si="1"/>
        <v>0</v>
      </c>
    </row>
    <row r="26" spans="1:23">
      <c r="A26" s="783" t="s">
        <v>259</v>
      </c>
      <c r="B26" s="806"/>
      <c r="C26" s="807"/>
      <c r="D26" s="807"/>
      <c r="E26" s="807"/>
      <c r="F26" s="807"/>
      <c r="G26" s="807"/>
      <c r="H26" s="807"/>
      <c r="I26" s="807"/>
      <c r="J26" s="807"/>
      <c r="K26" s="807"/>
      <c r="L26" s="807"/>
      <c r="M26" s="807"/>
      <c r="N26" s="807"/>
      <c r="O26" s="807"/>
      <c r="P26" s="807"/>
      <c r="Q26" s="801">
        <f t="shared" si="0"/>
        <v>0</v>
      </c>
      <c r="R26" s="801"/>
      <c r="S26" s="808"/>
      <c r="T26" s="801"/>
      <c r="U26" s="808"/>
      <c r="V26" s="809"/>
      <c r="W26" s="805">
        <f t="shared" si="1"/>
        <v>0</v>
      </c>
    </row>
    <row r="27" spans="1:23">
      <c r="A27" s="783" t="s">
        <v>259</v>
      </c>
      <c r="B27" s="806"/>
      <c r="C27" s="807"/>
      <c r="D27" s="807"/>
      <c r="E27" s="807"/>
      <c r="F27" s="807"/>
      <c r="G27" s="807"/>
      <c r="H27" s="807"/>
      <c r="I27" s="807"/>
      <c r="J27" s="807"/>
      <c r="K27" s="807"/>
      <c r="L27" s="807"/>
      <c r="M27" s="807"/>
      <c r="N27" s="807"/>
      <c r="O27" s="807"/>
      <c r="P27" s="807"/>
      <c r="Q27" s="801">
        <f t="shared" si="0"/>
        <v>0</v>
      </c>
      <c r="R27" s="801"/>
      <c r="S27" s="808"/>
      <c r="T27" s="801"/>
      <c r="U27" s="808"/>
      <c r="V27" s="809"/>
      <c r="W27" s="805">
        <f t="shared" si="1"/>
        <v>0</v>
      </c>
    </row>
    <row r="28" spans="1:23">
      <c r="A28" s="783" t="s">
        <v>259</v>
      </c>
      <c r="B28" s="806"/>
      <c r="C28" s="807"/>
      <c r="D28" s="807"/>
      <c r="E28" s="807"/>
      <c r="F28" s="807"/>
      <c r="G28" s="807"/>
      <c r="H28" s="807"/>
      <c r="I28" s="807"/>
      <c r="J28" s="807"/>
      <c r="K28" s="807"/>
      <c r="L28" s="807"/>
      <c r="M28" s="807"/>
      <c r="N28" s="807"/>
      <c r="O28" s="807"/>
      <c r="P28" s="807"/>
      <c r="Q28" s="801">
        <f t="shared" si="0"/>
        <v>0</v>
      </c>
      <c r="R28" s="801"/>
      <c r="S28" s="808"/>
      <c r="T28" s="801"/>
      <c r="U28" s="808"/>
      <c r="V28" s="809"/>
      <c r="W28" s="805">
        <f t="shared" si="1"/>
        <v>0</v>
      </c>
    </row>
    <row r="29" spans="1:23">
      <c r="A29" s="783" t="s">
        <v>259</v>
      </c>
      <c r="B29" s="806"/>
      <c r="C29" s="807"/>
      <c r="D29" s="807"/>
      <c r="E29" s="807"/>
      <c r="F29" s="807"/>
      <c r="G29" s="807"/>
      <c r="H29" s="807"/>
      <c r="I29" s="807"/>
      <c r="J29" s="807"/>
      <c r="K29" s="807"/>
      <c r="L29" s="807"/>
      <c r="M29" s="807"/>
      <c r="N29" s="807"/>
      <c r="O29" s="807"/>
      <c r="P29" s="807"/>
      <c r="Q29" s="801">
        <f t="shared" si="0"/>
        <v>0</v>
      </c>
      <c r="R29" s="801"/>
      <c r="S29" s="808"/>
      <c r="T29" s="801"/>
      <c r="U29" s="808"/>
      <c r="V29" s="809"/>
      <c r="W29" s="805">
        <f t="shared" si="1"/>
        <v>0</v>
      </c>
    </row>
    <row r="30" spans="1:23">
      <c r="A30" s="783" t="s">
        <v>259</v>
      </c>
      <c r="B30" s="806"/>
      <c r="C30" s="807"/>
      <c r="D30" s="807"/>
      <c r="E30" s="807"/>
      <c r="F30" s="807"/>
      <c r="G30" s="807"/>
      <c r="H30" s="807"/>
      <c r="I30" s="807"/>
      <c r="J30" s="807"/>
      <c r="K30" s="807"/>
      <c r="L30" s="807"/>
      <c r="M30" s="807"/>
      <c r="N30" s="807"/>
      <c r="O30" s="807"/>
      <c r="P30" s="807"/>
      <c r="Q30" s="801">
        <f t="shared" si="0"/>
        <v>0</v>
      </c>
      <c r="R30" s="801"/>
      <c r="S30" s="808"/>
      <c r="T30" s="801"/>
      <c r="U30" s="808"/>
      <c r="V30" s="809"/>
      <c r="W30" s="805">
        <f t="shared" si="1"/>
        <v>0</v>
      </c>
    </row>
    <row r="31" spans="1:23">
      <c r="A31" s="783" t="s">
        <v>259</v>
      </c>
      <c r="B31" s="806"/>
      <c r="C31" s="807"/>
      <c r="D31" s="807"/>
      <c r="E31" s="807"/>
      <c r="F31" s="807"/>
      <c r="G31" s="807"/>
      <c r="H31" s="807"/>
      <c r="I31" s="807"/>
      <c r="J31" s="807"/>
      <c r="K31" s="807"/>
      <c r="L31" s="807"/>
      <c r="M31" s="807"/>
      <c r="N31" s="807"/>
      <c r="O31" s="807"/>
      <c r="P31" s="807"/>
      <c r="Q31" s="801">
        <f t="shared" si="0"/>
        <v>0</v>
      </c>
      <c r="R31" s="801"/>
      <c r="S31" s="808"/>
      <c r="T31" s="801"/>
      <c r="U31" s="808"/>
      <c r="V31" s="809"/>
      <c r="W31" s="805">
        <f t="shared" si="1"/>
        <v>0</v>
      </c>
    </row>
    <row r="32" spans="1:23">
      <c r="A32" s="783" t="s">
        <v>261</v>
      </c>
      <c r="B32" s="806"/>
      <c r="C32" s="807"/>
      <c r="D32" s="807"/>
      <c r="E32" s="807"/>
      <c r="F32" s="807"/>
      <c r="G32" s="807"/>
      <c r="H32" s="807"/>
      <c r="I32" s="807"/>
      <c r="J32" s="807"/>
      <c r="K32" s="807"/>
      <c r="L32" s="807"/>
      <c r="M32" s="807"/>
      <c r="N32" s="807"/>
      <c r="O32" s="807"/>
      <c r="P32" s="807"/>
      <c r="Q32" s="801">
        <f t="shared" si="0"/>
        <v>0</v>
      </c>
      <c r="R32" s="801"/>
      <c r="S32" s="808"/>
      <c r="T32" s="801"/>
      <c r="U32" s="808"/>
      <c r="V32" s="809"/>
      <c r="W32" s="805">
        <f t="shared" si="1"/>
        <v>0</v>
      </c>
    </row>
    <row r="33" spans="1:26" ht="15" customHeight="1">
      <c r="A33" s="783">
        <v>2</v>
      </c>
      <c r="E33" s="811"/>
      <c r="F33" s="811"/>
      <c r="G33" s="811"/>
      <c r="H33" s="811"/>
      <c r="I33" s="811"/>
      <c r="J33" s="811"/>
      <c r="K33" s="811"/>
      <c r="L33" s="811"/>
      <c r="M33" s="811"/>
      <c r="N33" s="812" t="s">
        <v>859</v>
      </c>
      <c r="O33" s="812"/>
      <c r="P33" s="812"/>
      <c r="Q33" s="813">
        <f>SUM(Q8:Q32)</f>
        <v>0</v>
      </c>
      <c r="R33" s="814"/>
      <c r="S33" s="812" t="s">
        <v>860</v>
      </c>
      <c r="T33" s="812"/>
      <c r="U33" s="812"/>
      <c r="V33" s="812"/>
      <c r="W33" s="815">
        <f>SUM(W8:W32)</f>
        <v>0</v>
      </c>
    </row>
    <row r="34" spans="1:26">
      <c r="C34" s="810" t="s">
        <v>861</v>
      </c>
      <c r="E34" s="810"/>
      <c r="V34" s="816"/>
      <c r="W34" s="817"/>
    </row>
    <row r="35" spans="1:26" ht="12" customHeight="1">
      <c r="B35" s="818" t="s">
        <v>38</v>
      </c>
      <c r="C35" s="819" t="s">
        <v>862</v>
      </c>
      <c r="D35" s="819"/>
      <c r="E35" s="819"/>
      <c r="F35" s="819"/>
      <c r="G35" s="819"/>
      <c r="H35" s="819"/>
      <c r="I35" s="819"/>
      <c r="J35" s="819"/>
      <c r="K35" s="820"/>
      <c r="L35" s="821"/>
      <c r="M35" s="821"/>
      <c r="N35" s="821"/>
      <c r="O35" s="821"/>
      <c r="P35" s="821"/>
      <c r="Q35" s="821"/>
      <c r="R35" s="821"/>
      <c r="S35" s="821"/>
      <c r="T35" s="821"/>
      <c r="U35" s="821"/>
      <c r="V35" s="821"/>
      <c r="W35" s="821"/>
      <c r="X35" s="822"/>
      <c r="Y35" s="822"/>
    </row>
    <row r="36" spans="1:26" ht="12" customHeight="1">
      <c r="B36" s="818"/>
      <c r="C36" s="819"/>
      <c r="D36" s="819"/>
      <c r="E36" s="819"/>
      <c r="F36" s="819"/>
      <c r="G36" s="819"/>
      <c r="H36" s="819"/>
      <c r="I36" s="819"/>
      <c r="J36" s="819"/>
      <c r="L36" s="821"/>
      <c r="M36" s="821"/>
      <c r="N36" s="821"/>
      <c r="O36" s="821"/>
      <c r="P36" s="821"/>
      <c r="Q36" s="821"/>
      <c r="R36" s="821"/>
      <c r="S36" s="821"/>
      <c r="T36" s="821"/>
      <c r="U36" s="821"/>
      <c r="V36" s="821"/>
      <c r="W36" s="821"/>
      <c r="X36" s="822"/>
      <c r="Y36" s="823"/>
    </row>
    <row r="37" spans="1:26">
      <c r="B37" s="818"/>
      <c r="C37" s="819"/>
      <c r="D37" s="819"/>
      <c r="E37" s="819"/>
      <c r="F37" s="819"/>
      <c r="G37" s="819"/>
      <c r="H37" s="819"/>
      <c r="I37" s="819"/>
      <c r="J37" s="819"/>
      <c r="K37" s="824"/>
      <c r="L37" s="821"/>
      <c r="M37" s="821"/>
      <c r="N37" s="821"/>
      <c r="O37" s="821"/>
      <c r="P37" s="821"/>
      <c r="Q37" s="821"/>
      <c r="R37" s="821"/>
      <c r="S37" s="821"/>
      <c r="T37" s="821"/>
      <c r="U37" s="821"/>
      <c r="V37" s="821"/>
      <c r="W37" s="821"/>
      <c r="X37" s="822"/>
      <c r="Y37" s="823"/>
      <c r="Z37" s="823"/>
    </row>
    <row r="38" spans="1:26" ht="11.25" customHeight="1">
      <c r="A38" s="818"/>
      <c r="C38" s="819"/>
      <c r="D38" s="819"/>
      <c r="E38" s="819"/>
      <c r="F38" s="819"/>
      <c r="G38" s="819"/>
      <c r="H38" s="819"/>
      <c r="I38" s="819"/>
      <c r="J38" s="819"/>
      <c r="K38" s="783"/>
      <c r="L38" s="783"/>
      <c r="M38" s="783"/>
      <c r="N38" s="783"/>
      <c r="O38" s="783"/>
      <c r="P38" s="783"/>
      <c r="Q38" s="783"/>
      <c r="R38" s="783"/>
      <c r="S38" s="783"/>
      <c r="T38" s="783"/>
      <c r="U38" s="783"/>
    </row>
    <row r="39" spans="1:26" ht="35.25" customHeight="1">
      <c r="A39" s="818"/>
      <c r="C39" s="819"/>
      <c r="D39" s="819"/>
      <c r="E39" s="819"/>
      <c r="F39" s="819"/>
      <c r="G39" s="819"/>
      <c r="H39" s="819"/>
      <c r="I39" s="819"/>
      <c r="J39" s="819"/>
      <c r="K39" s="783"/>
      <c r="L39" s="783"/>
      <c r="M39" s="783"/>
      <c r="N39" s="783"/>
      <c r="O39" s="783"/>
      <c r="P39" s="783"/>
      <c r="Q39" s="783"/>
      <c r="R39" s="783"/>
      <c r="S39" s="783"/>
      <c r="T39" s="783"/>
      <c r="U39" s="783"/>
    </row>
    <row r="40" spans="1:26" ht="11.25" customHeight="1">
      <c r="A40" s="810"/>
      <c r="J40" s="822"/>
      <c r="K40" s="783"/>
      <c r="L40" s="783"/>
      <c r="M40" s="783"/>
      <c r="N40" s="783"/>
      <c r="O40" s="783"/>
      <c r="P40" s="783"/>
      <c r="Q40" s="783"/>
      <c r="R40" s="783"/>
      <c r="S40" s="783"/>
      <c r="T40" s="783"/>
      <c r="U40" s="783"/>
    </row>
    <row r="41" spans="1:26" ht="15.75" customHeight="1">
      <c r="A41" s="810"/>
      <c r="C41" s="825"/>
      <c r="D41" s="825"/>
      <c r="E41" s="825"/>
      <c r="F41" s="825"/>
      <c r="G41" s="825"/>
      <c r="H41" s="825"/>
      <c r="I41" s="825"/>
      <c r="J41" s="825"/>
    </row>
    <row r="42" spans="1:26">
      <c r="A42" s="810"/>
      <c r="C42" s="825"/>
      <c r="D42" s="825"/>
      <c r="E42" s="825"/>
      <c r="F42" s="825"/>
      <c r="G42" s="825"/>
      <c r="H42" s="825"/>
      <c r="I42" s="825"/>
      <c r="J42" s="825"/>
    </row>
    <row r="43" spans="1:26">
      <c r="A43" s="810"/>
      <c r="C43" s="825"/>
      <c r="D43" s="825"/>
      <c r="E43" s="825"/>
      <c r="F43" s="825"/>
      <c r="G43" s="825"/>
      <c r="H43" s="825"/>
      <c r="I43" s="825"/>
      <c r="J43" s="825"/>
    </row>
    <row r="44" spans="1:26">
      <c r="A44" s="810"/>
      <c r="C44" s="825"/>
      <c r="D44" s="825"/>
      <c r="E44" s="825"/>
      <c r="F44" s="825"/>
      <c r="G44" s="825"/>
      <c r="H44" s="825"/>
      <c r="I44" s="825"/>
      <c r="J44" s="825"/>
    </row>
    <row r="45" spans="1:26">
      <c r="C45" s="825"/>
      <c r="D45" s="825"/>
      <c r="E45" s="825"/>
      <c r="F45" s="825"/>
      <c r="G45" s="825"/>
      <c r="H45" s="825"/>
      <c r="I45" s="825"/>
      <c r="J45" s="825"/>
    </row>
    <row r="46" spans="1:26">
      <c r="C46" s="825"/>
      <c r="D46" s="825"/>
      <c r="E46" s="825"/>
      <c r="F46" s="825"/>
      <c r="G46" s="825"/>
      <c r="H46" s="825"/>
      <c r="I46" s="825"/>
      <c r="J46" s="825"/>
    </row>
    <row r="47" spans="1:26">
      <c r="C47" s="825"/>
      <c r="D47" s="825"/>
      <c r="E47" s="825"/>
      <c r="F47" s="825"/>
      <c r="G47" s="825"/>
      <c r="H47" s="825"/>
      <c r="I47" s="825"/>
      <c r="J47" s="825"/>
    </row>
    <row r="48" spans="1:26">
      <c r="C48" s="825"/>
      <c r="D48" s="825"/>
      <c r="E48" s="825"/>
      <c r="F48" s="825"/>
      <c r="G48" s="825"/>
      <c r="H48" s="825"/>
      <c r="I48" s="825"/>
      <c r="J48" s="825"/>
    </row>
  </sheetData>
  <mergeCells count="20">
    <mergeCell ref="C35:J39"/>
    <mergeCell ref="L35:W37"/>
    <mergeCell ref="T6:T7"/>
    <mergeCell ref="U6:U7"/>
    <mergeCell ref="V6:V7"/>
    <mergeCell ref="W6:W7"/>
    <mergeCell ref="N33:P33"/>
    <mergeCell ref="S33:V33"/>
    <mergeCell ref="A6:A7"/>
    <mergeCell ref="B6:B7"/>
    <mergeCell ref="C6:C7"/>
    <mergeCell ref="Q6:Q7"/>
    <mergeCell ref="R6:R7"/>
    <mergeCell ref="S6:S7"/>
    <mergeCell ref="A1:K1"/>
    <mergeCell ref="L1:W1"/>
    <mergeCell ref="A2:K2"/>
    <mergeCell ref="L2:W2"/>
    <mergeCell ref="C3:G3"/>
    <mergeCell ref="N3:U3"/>
  </mergeCells>
  <pageMargins left="0.70866141732283472" right="0.70866141732283472" top="0.74803149606299213" bottom="0.74803149606299213" header="0.31496062992125984" footer="0.31496062992125984"/>
  <pageSetup scale="57" orientation="landscape" r:id="rId1"/>
  <headerFooter>
    <oddFooter>&amp;RPage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0C876-01D6-44CC-B7A4-EE62CA036743}">
  <sheetPr>
    <pageSetUpPr fitToPage="1"/>
  </sheetPr>
  <dimension ref="A1:AE47"/>
  <sheetViews>
    <sheetView view="pageBreakPreview" zoomScale="80" zoomScaleNormal="100" zoomScaleSheetLayoutView="80" workbookViewId="0">
      <selection activeCell="G16" sqref="G16"/>
    </sheetView>
  </sheetViews>
  <sheetFormatPr defaultColWidth="7" defaultRowHeight="15.75"/>
  <cols>
    <col min="1" max="2" width="2.88671875" style="826" customWidth="1"/>
    <col min="3" max="3" width="48.5546875" style="826" customWidth="1"/>
    <col min="4" max="4" width="12.44140625" style="826" customWidth="1"/>
    <col min="5" max="5" width="10.6640625" style="826" customWidth="1"/>
    <col min="6" max="6" width="9.109375" style="826" customWidth="1"/>
    <col min="7" max="7" width="9.6640625" style="826" customWidth="1"/>
    <col min="8" max="17" width="7.6640625" style="826" customWidth="1"/>
    <col min="18" max="18" width="8.109375" style="861" bestFit="1" customWidth="1"/>
    <col min="19" max="19" width="8.6640625" style="866" bestFit="1" customWidth="1"/>
    <col min="20" max="20" width="9" style="867" bestFit="1" customWidth="1"/>
    <col min="21" max="21" width="14" style="860" customWidth="1"/>
    <col min="22" max="22" width="1.33203125" style="869" customWidth="1"/>
    <col min="23" max="23" width="10.21875" style="826" customWidth="1"/>
    <col min="24" max="24" width="1.33203125" style="869" customWidth="1"/>
    <col min="25" max="25" width="7.88671875" style="826" customWidth="1"/>
    <col min="26" max="26" width="8.109375" style="826" customWidth="1"/>
    <col min="27" max="27" width="1.33203125" style="826" customWidth="1"/>
    <col min="28" max="28" width="8.21875" style="826" customWidth="1"/>
    <col min="29" max="29" width="1.33203125" style="826" customWidth="1"/>
    <col min="30" max="30" width="6.77734375" style="826" customWidth="1"/>
    <col min="31" max="31" width="1.44140625" style="826" customWidth="1"/>
    <col min="32" max="32" width="7.109375" style="783" customWidth="1"/>
    <col min="33" max="16384" width="7" style="783"/>
  </cols>
  <sheetData>
    <row r="1" spans="1:31">
      <c r="A1" s="140" t="s">
        <v>863</v>
      </c>
      <c r="B1" s="140"/>
      <c r="C1" s="140"/>
      <c r="D1" s="140"/>
      <c r="E1" s="140"/>
      <c r="F1" s="140"/>
      <c r="G1" s="140"/>
      <c r="H1" s="140" t="s">
        <v>863</v>
      </c>
      <c r="I1" s="140"/>
      <c r="J1" s="140"/>
      <c r="K1" s="140"/>
      <c r="L1" s="140"/>
      <c r="M1" s="140"/>
      <c r="N1" s="140"/>
      <c r="O1" s="140"/>
      <c r="P1" s="140"/>
      <c r="Q1" s="140"/>
      <c r="R1" s="140"/>
      <c r="S1" s="140"/>
      <c r="T1" s="140"/>
      <c r="U1" s="140" t="s">
        <v>863</v>
      </c>
      <c r="V1" s="140"/>
      <c r="W1" s="140"/>
      <c r="X1" s="140"/>
      <c r="Y1" s="140"/>
      <c r="Z1" s="140"/>
      <c r="AA1" s="140"/>
      <c r="AB1" s="24"/>
      <c r="AC1" s="24"/>
      <c r="AD1" s="24"/>
    </row>
    <row r="2" spans="1:31">
      <c r="A2" s="827"/>
      <c r="B2" s="827"/>
      <c r="C2" s="827"/>
      <c r="D2" s="827"/>
      <c r="E2" s="827"/>
      <c r="F2" s="827"/>
      <c r="G2" s="827"/>
      <c r="H2" s="827"/>
      <c r="I2" s="827"/>
      <c r="J2" s="827"/>
      <c r="K2" s="827"/>
      <c r="L2" s="827"/>
      <c r="M2" s="827"/>
      <c r="N2" s="827"/>
      <c r="O2" s="827"/>
      <c r="P2" s="827"/>
      <c r="Q2" s="827"/>
      <c r="R2" s="827"/>
      <c r="S2" s="827"/>
      <c r="T2" s="827"/>
      <c r="U2" s="827"/>
      <c r="V2" s="827"/>
      <c r="W2" s="827"/>
      <c r="X2" s="827"/>
      <c r="Y2" s="827"/>
      <c r="Z2" s="827"/>
      <c r="AA2" s="827"/>
      <c r="AB2" s="20"/>
      <c r="AC2" s="20"/>
      <c r="AD2" s="20"/>
    </row>
    <row r="3" spans="1:31">
      <c r="A3" s="23"/>
      <c r="B3" s="23"/>
      <c r="C3" s="622" t="s">
        <v>864</v>
      </c>
      <c r="D3" s="627"/>
      <c r="E3" s="622"/>
      <c r="F3" s="627"/>
      <c r="G3" s="627"/>
      <c r="H3" s="23"/>
      <c r="I3" s="23"/>
      <c r="J3" s="23"/>
      <c r="K3" s="23"/>
      <c r="L3" s="622" t="s">
        <v>865</v>
      </c>
      <c r="M3" s="627"/>
      <c r="N3" s="627"/>
      <c r="O3" s="627"/>
      <c r="P3" s="627"/>
      <c r="Q3" s="23"/>
      <c r="R3" s="23"/>
      <c r="S3" s="23"/>
      <c r="T3" s="23"/>
      <c r="U3" s="622" t="s">
        <v>6</v>
      </c>
      <c r="V3" s="627"/>
      <c r="W3" s="627"/>
      <c r="X3" s="627"/>
      <c r="Y3" s="627"/>
      <c r="Z3" s="627"/>
      <c r="AA3" s="23"/>
      <c r="AB3" s="20"/>
      <c r="AC3" s="20"/>
      <c r="AD3" s="20"/>
    </row>
    <row r="5" spans="1:31" s="787" customFormat="1">
      <c r="A5" s="828"/>
      <c r="B5" s="828"/>
      <c r="C5" s="828" t="s">
        <v>174</v>
      </c>
      <c r="D5" s="828" t="s">
        <v>370</v>
      </c>
      <c r="E5" s="828" t="s">
        <v>830</v>
      </c>
      <c r="F5" s="828" t="s">
        <v>714</v>
      </c>
      <c r="G5" s="828" t="s">
        <v>831</v>
      </c>
      <c r="H5" s="828" t="s">
        <v>716</v>
      </c>
      <c r="I5" s="828" t="s">
        <v>717</v>
      </c>
      <c r="J5" s="828" t="s">
        <v>737</v>
      </c>
      <c r="K5" s="828" t="s">
        <v>738</v>
      </c>
      <c r="L5" s="828" t="s">
        <v>739</v>
      </c>
      <c r="M5" s="828" t="s">
        <v>740</v>
      </c>
      <c r="N5" s="828" t="s">
        <v>809</v>
      </c>
      <c r="O5" s="828" t="s">
        <v>810</v>
      </c>
      <c r="P5" s="829" t="s">
        <v>832</v>
      </c>
      <c r="Q5" s="828" t="s">
        <v>833</v>
      </c>
      <c r="R5" s="830" t="s">
        <v>834</v>
      </c>
      <c r="S5" s="828" t="s">
        <v>835</v>
      </c>
      <c r="T5" s="828" t="s">
        <v>836</v>
      </c>
      <c r="U5" s="828" t="s">
        <v>837</v>
      </c>
      <c r="V5" s="828"/>
      <c r="W5" s="828" t="s">
        <v>866</v>
      </c>
      <c r="X5" s="828"/>
      <c r="Y5" s="828" t="s">
        <v>867</v>
      </c>
      <c r="Z5" s="828"/>
      <c r="AA5" s="828"/>
      <c r="AB5" s="828"/>
      <c r="AC5" s="828"/>
      <c r="AD5" s="828"/>
      <c r="AE5" s="828"/>
    </row>
    <row r="6" spans="1:31" s="795" customFormat="1" ht="41.25" customHeight="1">
      <c r="A6" s="831" t="s">
        <v>43</v>
      </c>
      <c r="B6" s="832"/>
      <c r="C6" s="831" t="s">
        <v>868</v>
      </c>
      <c r="D6" s="831" t="s">
        <v>869</v>
      </c>
      <c r="E6" s="831" t="s">
        <v>870</v>
      </c>
      <c r="F6" s="831" t="s">
        <v>871</v>
      </c>
      <c r="G6" s="831" t="s">
        <v>872</v>
      </c>
      <c r="H6" s="833" t="s">
        <v>840</v>
      </c>
      <c r="I6" s="834" t="s">
        <v>841</v>
      </c>
      <c r="J6" s="834" t="s">
        <v>842</v>
      </c>
      <c r="K6" s="834" t="s">
        <v>843</v>
      </c>
      <c r="L6" s="834" t="s">
        <v>844</v>
      </c>
      <c r="M6" s="834" t="s">
        <v>845</v>
      </c>
      <c r="N6" s="834" t="s">
        <v>846</v>
      </c>
      <c r="O6" s="834" t="s">
        <v>847</v>
      </c>
      <c r="P6" s="834" t="s">
        <v>848</v>
      </c>
      <c r="Q6" s="834" t="s">
        <v>849</v>
      </c>
      <c r="R6" s="834" t="s">
        <v>850</v>
      </c>
      <c r="S6" s="834" t="s">
        <v>851</v>
      </c>
      <c r="T6" s="834" t="s">
        <v>840</v>
      </c>
      <c r="U6" s="831" t="s">
        <v>873</v>
      </c>
      <c r="V6" s="831" t="s">
        <v>853</v>
      </c>
      <c r="W6" s="831" t="s">
        <v>874</v>
      </c>
      <c r="X6" s="831" t="s">
        <v>164</v>
      </c>
      <c r="Y6" s="831" t="s">
        <v>875</v>
      </c>
      <c r="Z6" s="835"/>
      <c r="AA6" s="835"/>
      <c r="AB6" s="835"/>
      <c r="AC6" s="835"/>
      <c r="AD6" s="835"/>
      <c r="AE6" s="835"/>
    </row>
    <row r="7" spans="1:31" s="795" customFormat="1" ht="17.25" customHeight="1">
      <c r="A7" s="836"/>
      <c r="B7" s="837"/>
      <c r="C7" s="836"/>
      <c r="D7" s="836"/>
      <c r="E7" s="836" t="s">
        <v>870</v>
      </c>
      <c r="F7" s="836"/>
      <c r="G7" s="836"/>
      <c r="H7" s="838">
        <v>2019</v>
      </c>
      <c r="I7" s="838">
        <v>2020</v>
      </c>
      <c r="J7" s="838">
        <v>2020</v>
      </c>
      <c r="K7" s="838">
        <v>2020</v>
      </c>
      <c r="L7" s="838">
        <v>2020</v>
      </c>
      <c r="M7" s="838">
        <v>2020</v>
      </c>
      <c r="N7" s="838">
        <v>2020</v>
      </c>
      <c r="O7" s="838">
        <v>2020</v>
      </c>
      <c r="P7" s="838">
        <v>2020</v>
      </c>
      <c r="Q7" s="838">
        <v>2020</v>
      </c>
      <c r="R7" s="838">
        <v>2020</v>
      </c>
      <c r="S7" s="838">
        <v>2020</v>
      </c>
      <c r="T7" s="838">
        <v>2020</v>
      </c>
      <c r="U7" s="836"/>
      <c r="V7" s="836"/>
      <c r="W7" s="836"/>
      <c r="X7" s="836"/>
      <c r="Y7" s="836"/>
      <c r="Z7" s="835"/>
      <c r="AA7" s="835"/>
      <c r="AB7" s="835"/>
      <c r="AC7" s="835"/>
      <c r="AD7" s="835"/>
      <c r="AE7" s="835"/>
    </row>
    <row r="8" spans="1:31">
      <c r="A8" s="839" t="s">
        <v>257</v>
      </c>
      <c r="B8" s="839"/>
      <c r="C8" s="840"/>
      <c r="D8" s="841"/>
      <c r="E8" s="842"/>
      <c r="F8" s="842"/>
      <c r="G8" s="843"/>
      <c r="H8" s="844">
        <v>0</v>
      </c>
      <c r="I8" s="844">
        <v>0</v>
      </c>
      <c r="J8" s="844">
        <v>0</v>
      </c>
      <c r="K8" s="844">
        <v>0</v>
      </c>
      <c r="L8" s="844">
        <v>0</v>
      </c>
      <c r="M8" s="844">
        <v>0</v>
      </c>
      <c r="N8" s="844">
        <v>0</v>
      </c>
      <c r="O8" s="844">
        <v>0</v>
      </c>
      <c r="P8" s="844">
        <v>0</v>
      </c>
      <c r="Q8" s="845">
        <v>0</v>
      </c>
      <c r="R8" s="845">
        <v>0</v>
      </c>
      <c r="S8" s="845">
        <v>0</v>
      </c>
      <c r="T8" s="845">
        <v>0</v>
      </c>
      <c r="U8" s="846">
        <f t="shared" ref="U8:U32" si="0">SUM(H8:T8)/13</f>
        <v>0</v>
      </c>
      <c r="V8" s="847"/>
      <c r="W8" s="848">
        <v>0</v>
      </c>
      <c r="X8" s="847"/>
      <c r="Y8" s="849">
        <f t="shared" ref="Y8:Y32" si="1">U8*W8</f>
        <v>0</v>
      </c>
    </row>
    <row r="9" spans="1:31">
      <c r="A9" s="850" t="s">
        <v>857</v>
      </c>
      <c r="B9" s="850"/>
      <c r="C9" s="840"/>
      <c r="D9" s="840"/>
      <c r="E9" s="851"/>
      <c r="F9" s="851"/>
      <c r="G9" s="843"/>
      <c r="H9" s="852"/>
      <c r="I9" s="852"/>
      <c r="J9" s="852"/>
      <c r="K9" s="852"/>
      <c r="L9" s="852"/>
      <c r="M9" s="852"/>
      <c r="N9" s="852"/>
      <c r="O9" s="852"/>
      <c r="P9" s="852"/>
      <c r="Q9" s="852"/>
      <c r="R9" s="852"/>
      <c r="S9" s="852"/>
      <c r="T9" s="852"/>
      <c r="U9" s="853">
        <f t="shared" si="0"/>
        <v>0</v>
      </c>
      <c r="V9" s="854"/>
      <c r="W9" s="855">
        <v>0</v>
      </c>
      <c r="X9" s="854"/>
      <c r="Y9" s="856">
        <f t="shared" si="1"/>
        <v>0</v>
      </c>
    </row>
    <row r="10" spans="1:31">
      <c r="A10" s="850" t="s">
        <v>858</v>
      </c>
      <c r="B10" s="850"/>
      <c r="C10" s="840"/>
      <c r="D10" s="840"/>
      <c r="E10" s="840"/>
      <c r="F10" s="840"/>
      <c r="G10" s="843"/>
      <c r="H10" s="852"/>
      <c r="I10" s="852"/>
      <c r="J10" s="852"/>
      <c r="K10" s="852"/>
      <c r="L10" s="852"/>
      <c r="M10" s="852"/>
      <c r="N10" s="852"/>
      <c r="O10" s="852"/>
      <c r="P10" s="857"/>
      <c r="Q10" s="852"/>
      <c r="R10" s="858"/>
      <c r="S10" s="852"/>
      <c r="T10" s="857"/>
      <c r="U10" s="853">
        <f t="shared" si="0"/>
        <v>0</v>
      </c>
      <c r="V10" s="854"/>
      <c r="W10" s="855">
        <v>0</v>
      </c>
      <c r="X10" s="854"/>
      <c r="Y10" s="856">
        <f t="shared" si="1"/>
        <v>0</v>
      </c>
    </row>
    <row r="11" spans="1:31">
      <c r="A11" s="850" t="s">
        <v>259</v>
      </c>
      <c r="B11" s="850"/>
      <c r="C11" s="840"/>
      <c r="D11" s="840"/>
      <c r="E11" s="840"/>
      <c r="F11" s="840"/>
      <c r="G11" s="843"/>
      <c r="H11" s="852"/>
      <c r="I11" s="852"/>
      <c r="J11" s="852"/>
      <c r="K11" s="852"/>
      <c r="L11" s="852"/>
      <c r="M11" s="852"/>
      <c r="N11" s="852"/>
      <c r="O11" s="852"/>
      <c r="P11" s="857"/>
      <c r="Q11" s="852"/>
      <c r="R11" s="858"/>
      <c r="S11" s="852"/>
      <c r="T11" s="857"/>
      <c r="U11" s="853">
        <f t="shared" si="0"/>
        <v>0</v>
      </c>
      <c r="V11" s="854"/>
      <c r="W11" s="855">
        <v>0</v>
      </c>
      <c r="X11" s="854"/>
      <c r="Y11" s="856">
        <f t="shared" si="1"/>
        <v>0</v>
      </c>
    </row>
    <row r="12" spans="1:31">
      <c r="A12" s="850" t="s">
        <v>259</v>
      </c>
      <c r="B12" s="850"/>
      <c r="C12" s="840"/>
      <c r="D12" s="840"/>
      <c r="E12" s="840"/>
      <c r="F12" s="840"/>
      <c r="G12" s="843"/>
      <c r="H12" s="852"/>
      <c r="I12" s="852"/>
      <c r="J12" s="852"/>
      <c r="K12" s="852"/>
      <c r="L12" s="852"/>
      <c r="M12" s="852"/>
      <c r="N12" s="852"/>
      <c r="O12" s="852"/>
      <c r="P12" s="857"/>
      <c r="Q12" s="852"/>
      <c r="R12" s="858"/>
      <c r="S12" s="852"/>
      <c r="T12" s="857"/>
      <c r="U12" s="853">
        <f t="shared" si="0"/>
        <v>0</v>
      </c>
      <c r="V12" s="854"/>
      <c r="W12" s="855">
        <v>0</v>
      </c>
      <c r="X12" s="854"/>
      <c r="Y12" s="856">
        <f t="shared" si="1"/>
        <v>0</v>
      </c>
    </row>
    <row r="13" spans="1:31">
      <c r="A13" s="850" t="s">
        <v>259</v>
      </c>
      <c r="B13" s="850"/>
      <c r="C13" s="840"/>
      <c r="D13" s="840"/>
      <c r="E13" s="840"/>
      <c r="F13" s="840"/>
      <c r="G13" s="843"/>
      <c r="H13" s="852"/>
      <c r="I13" s="852"/>
      <c r="J13" s="852"/>
      <c r="K13" s="852"/>
      <c r="L13" s="852"/>
      <c r="M13" s="852"/>
      <c r="N13" s="852"/>
      <c r="O13" s="852"/>
      <c r="P13" s="857"/>
      <c r="Q13" s="852"/>
      <c r="R13" s="858"/>
      <c r="S13" s="852"/>
      <c r="T13" s="857"/>
      <c r="U13" s="853">
        <f t="shared" si="0"/>
        <v>0</v>
      </c>
      <c r="V13" s="854"/>
      <c r="W13" s="855">
        <v>0</v>
      </c>
      <c r="X13" s="854"/>
      <c r="Y13" s="856">
        <f t="shared" si="1"/>
        <v>0</v>
      </c>
    </row>
    <row r="14" spans="1:31">
      <c r="A14" s="850" t="s">
        <v>259</v>
      </c>
      <c r="B14" s="850"/>
      <c r="C14" s="840"/>
      <c r="D14" s="840"/>
      <c r="E14" s="840"/>
      <c r="F14" s="840"/>
      <c r="G14" s="843"/>
      <c r="H14" s="852"/>
      <c r="I14" s="852"/>
      <c r="J14" s="852"/>
      <c r="K14" s="852"/>
      <c r="L14" s="852"/>
      <c r="M14" s="852"/>
      <c r="N14" s="852"/>
      <c r="O14" s="852"/>
      <c r="P14" s="857"/>
      <c r="Q14" s="852"/>
      <c r="R14" s="858"/>
      <c r="S14" s="852"/>
      <c r="T14" s="857"/>
      <c r="U14" s="853">
        <f t="shared" si="0"/>
        <v>0</v>
      </c>
      <c r="V14" s="854"/>
      <c r="W14" s="855">
        <v>0</v>
      </c>
      <c r="X14" s="854"/>
      <c r="Y14" s="856">
        <f t="shared" si="1"/>
        <v>0</v>
      </c>
    </row>
    <row r="15" spans="1:31">
      <c r="A15" s="850" t="s">
        <v>259</v>
      </c>
      <c r="B15" s="850"/>
      <c r="C15" s="840"/>
      <c r="D15" s="840"/>
      <c r="E15" s="840"/>
      <c r="F15" s="840"/>
      <c r="G15" s="843"/>
      <c r="H15" s="852"/>
      <c r="I15" s="852"/>
      <c r="J15" s="852"/>
      <c r="K15" s="852"/>
      <c r="L15" s="852"/>
      <c r="M15" s="852"/>
      <c r="N15" s="852"/>
      <c r="O15" s="852"/>
      <c r="P15" s="857"/>
      <c r="Q15" s="852"/>
      <c r="R15" s="858"/>
      <c r="S15" s="852"/>
      <c r="T15" s="857"/>
      <c r="U15" s="853">
        <f t="shared" si="0"/>
        <v>0</v>
      </c>
      <c r="V15" s="854"/>
      <c r="W15" s="855">
        <v>0</v>
      </c>
      <c r="X15" s="854"/>
      <c r="Y15" s="856">
        <f t="shared" si="1"/>
        <v>0</v>
      </c>
    </row>
    <row r="16" spans="1:31">
      <c r="A16" s="850" t="s">
        <v>259</v>
      </c>
      <c r="B16" s="850"/>
      <c r="C16" s="840"/>
      <c r="D16" s="840"/>
      <c r="E16" s="840"/>
      <c r="F16" s="840"/>
      <c r="G16" s="843"/>
      <c r="H16" s="852"/>
      <c r="I16" s="852"/>
      <c r="J16" s="852"/>
      <c r="K16" s="852"/>
      <c r="L16" s="852"/>
      <c r="M16" s="852"/>
      <c r="N16" s="852"/>
      <c r="O16" s="852"/>
      <c r="P16" s="857"/>
      <c r="Q16" s="852"/>
      <c r="R16" s="858"/>
      <c r="S16" s="852"/>
      <c r="T16" s="857"/>
      <c r="U16" s="853">
        <f t="shared" si="0"/>
        <v>0</v>
      </c>
      <c r="V16" s="854"/>
      <c r="W16" s="855">
        <v>0</v>
      </c>
      <c r="X16" s="854"/>
      <c r="Y16" s="856">
        <f t="shared" si="1"/>
        <v>0</v>
      </c>
    </row>
    <row r="17" spans="1:25">
      <c r="A17" s="850" t="s">
        <v>259</v>
      </c>
      <c r="B17" s="850"/>
      <c r="C17" s="840"/>
      <c r="D17" s="840"/>
      <c r="E17" s="840"/>
      <c r="F17" s="840"/>
      <c r="G17" s="843"/>
      <c r="H17" s="852"/>
      <c r="I17" s="852"/>
      <c r="J17" s="852"/>
      <c r="K17" s="852"/>
      <c r="L17" s="852"/>
      <c r="M17" s="852"/>
      <c r="N17" s="852"/>
      <c r="O17" s="852"/>
      <c r="P17" s="857"/>
      <c r="Q17" s="852"/>
      <c r="R17" s="858"/>
      <c r="S17" s="852"/>
      <c r="T17" s="857"/>
      <c r="U17" s="853">
        <f t="shared" si="0"/>
        <v>0</v>
      </c>
      <c r="V17" s="854"/>
      <c r="W17" s="855">
        <v>0</v>
      </c>
      <c r="X17" s="854"/>
      <c r="Y17" s="856">
        <f t="shared" si="1"/>
        <v>0</v>
      </c>
    </row>
    <row r="18" spans="1:25">
      <c r="A18" s="850" t="s">
        <v>259</v>
      </c>
      <c r="B18" s="850"/>
      <c r="C18" s="840"/>
      <c r="D18" s="840"/>
      <c r="E18" s="840"/>
      <c r="F18" s="840"/>
      <c r="G18" s="843"/>
      <c r="H18" s="852"/>
      <c r="I18" s="852"/>
      <c r="J18" s="852"/>
      <c r="K18" s="852"/>
      <c r="L18" s="852"/>
      <c r="M18" s="852"/>
      <c r="N18" s="852"/>
      <c r="O18" s="852"/>
      <c r="P18" s="857"/>
      <c r="Q18" s="852"/>
      <c r="R18" s="858"/>
      <c r="S18" s="852"/>
      <c r="T18" s="857"/>
      <c r="U18" s="853">
        <f t="shared" si="0"/>
        <v>0</v>
      </c>
      <c r="V18" s="854"/>
      <c r="W18" s="855">
        <v>0</v>
      </c>
      <c r="X18" s="854"/>
      <c r="Y18" s="856">
        <f t="shared" si="1"/>
        <v>0</v>
      </c>
    </row>
    <row r="19" spans="1:25">
      <c r="A19" s="850" t="s">
        <v>259</v>
      </c>
      <c r="B19" s="850"/>
      <c r="C19" s="840"/>
      <c r="D19" s="840"/>
      <c r="E19" s="840"/>
      <c r="F19" s="840"/>
      <c r="G19" s="843"/>
      <c r="H19" s="852"/>
      <c r="I19" s="852"/>
      <c r="J19" s="852"/>
      <c r="K19" s="852"/>
      <c r="L19" s="852"/>
      <c r="M19" s="852"/>
      <c r="N19" s="852"/>
      <c r="O19" s="852"/>
      <c r="P19" s="857"/>
      <c r="Q19" s="852"/>
      <c r="R19" s="858"/>
      <c r="S19" s="852"/>
      <c r="T19" s="857"/>
      <c r="U19" s="853">
        <f t="shared" si="0"/>
        <v>0</v>
      </c>
      <c r="V19" s="854"/>
      <c r="W19" s="855">
        <v>0</v>
      </c>
      <c r="X19" s="854"/>
      <c r="Y19" s="856">
        <f t="shared" si="1"/>
        <v>0</v>
      </c>
    </row>
    <row r="20" spans="1:25">
      <c r="A20" s="850" t="s">
        <v>259</v>
      </c>
      <c r="B20" s="850"/>
      <c r="C20" s="840"/>
      <c r="D20" s="840"/>
      <c r="E20" s="840"/>
      <c r="F20" s="840"/>
      <c r="G20" s="843"/>
      <c r="H20" s="852"/>
      <c r="I20" s="852"/>
      <c r="J20" s="852"/>
      <c r="K20" s="852"/>
      <c r="L20" s="852"/>
      <c r="M20" s="852"/>
      <c r="N20" s="852"/>
      <c r="O20" s="852"/>
      <c r="P20" s="857"/>
      <c r="Q20" s="852"/>
      <c r="R20" s="858"/>
      <c r="S20" s="852"/>
      <c r="T20" s="857"/>
      <c r="U20" s="853">
        <f t="shared" si="0"/>
        <v>0</v>
      </c>
      <c r="V20" s="854"/>
      <c r="W20" s="855">
        <v>0</v>
      </c>
      <c r="X20" s="854"/>
      <c r="Y20" s="856">
        <f t="shared" si="1"/>
        <v>0</v>
      </c>
    </row>
    <row r="21" spans="1:25">
      <c r="A21" s="850" t="s">
        <v>259</v>
      </c>
      <c r="B21" s="850"/>
      <c r="C21" s="840"/>
      <c r="D21" s="840"/>
      <c r="E21" s="840"/>
      <c r="F21" s="840"/>
      <c r="G21" s="843"/>
      <c r="H21" s="852"/>
      <c r="I21" s="852"/>
      <c r="J21" s="852"/>
      <c r="K21" s="852"/>
      <c r="L21" s="852"/>
      <c r="M21" s="852"/>
      <c r="N21" s="852"/>
      <c r="O21" s="852"/>
      <c r="P21" s="857"/>
      <c r="Q21" s="852"/>
      <c r="R21" s="858"/>
      <c r="S21" s="852"/>
      <c r="T21" s="857"/>
      <c r="U21" s="853">
        <f t="shared" si="0"/>
        <v>0</v>
      </c>
      <c r="V21" s="854"/>
      <c r="W21" s="855">
        <v>0</v>
      </c>
      <c r="X21" s="854"/>
      <c r="Y21" s="856">
        <f t="shared" si="1"/>
        <v>0</v>
      </c>
    </row>
    <row r="22" spans="1:25">
      <c r="A22" s="850" t="s">
        <v>259</v>
      </c>
      <c r="B22" s="850"/>
      <c r="C22" s="840"/>
      <c r="D22" s="840"/>
      <c r="E22" s="840"/>
      <c r="F22" s="840"/>
      <c r="G22" s="843"/>
      <c r="H22" s="852"/>
      <c r="I22" s="852"/>
      <c r="J22" s="852"/>
      <c r="K22" s="852"/>
      <c r="L22" s="852"/>
      <c r="M22" s="852"/>
      <c r="N22" s="852"/>
      <c r="O22" s="852"/>
      <c r="P22" s="857"/>
      <c r="Q22" s="852"/>
      <c r="R22" s="858"/>
      <c r="S22" s="852"/>
      <c r="T22" s="857"/>
      <c r="U22" s="853">
        <f t="shared" si="0"/>
        <v>0</v>
      </c>
      <c r="V22" s="854"/>
      <c r="W22" s="855">
        <v>0</v>
      </c>
      <c r="X22" s="854"/>
      <c r="Y22" s="856">
        <f t="shared" si="1"/>
        <v>0</v>
      </c>
    </row>
    <row r="23" spans="1:25">
      <c r="A23" s="850" t="s">
        <v>259</v>
      </c>
      <c r="B23" s="850"/>
      <c r="C23" s="840"/>
      <c r="D23" s="840"/>
      <c r="E23" s="840"/>
      <c r="F23" s="840"/>
      <c r="G23" s="843"/>
      <c r="H23" s="852"/>
      <c r="I23" s="852"/>
      <c r="J23" s="852"/>
      <c r="K23" s="852"/>
      <c r="L23" s="852"/>
      <c r="M23" s="852"/>
      <c r="N23" s="852"/>
      <c r="O23" s="852"/>
      <c r="P23" s="857"/>
      <c r="Q23" s="852"/>
      <c r="R23" s="858"/>
      <c r="S23" s="852"/>
      <c r="T23" s="857"/>
      <c r="U23" s="853">
        <f t="shared" si="0"/>
        <v>0</v>
      </c>
      <c r="V23" s="854"/>
      <c r="W23" s="855">
        <v>0</v>
      </c>
      <c r="X23" s="854"/>
      <c r="Y23" s="856">
        <f t="shared" si="1"/>
        <v>0</v>
      </c>
    </row>
    <row r="24" spans="1:25">
      <c r="A24" s="850" t="s">
        <v>259</v>
      </c>
      <c r="B24" s="850"/>
      <c r="C24" s="840"/>
      <c r="D24" s="840"/>
      <c r="E24" s="840"/>
      <c r="F24" s="840"/>
      <c r="G24" s="843"/>
      <c r="H24" s="852"/>
      <c r="I24" s="852"/>
      <c r="J24" s="852"/>
      <c r="K24" s="852"/>
      <c r="L24" s="852"/>
      <c r="M24" s="852"/>
      <c r="N24" s="852"/>
      <c r="O24" s="852"/>
      <c r="P24" s="857"/>
      <c r="Q24" s="852"/>
      <c r="R24" s="858"/>
      <c r="S24" s="852"/>
      <c r="T24" s="857"/>
      <c r="U24" s="853">
        <f t="shared" si="0"/>
        <v>0</v>
      </c>
      <c r="V24" s="854"/>
      <c r="W24" s="855">
        <v>0</v>
      </c>
      <c r="X24" s="854"/>
      <c r="Y24" s="856">
        <f t="shared" si="1"/>
        <v>0</v>
      </c>
    </row>
    <row r="25" spans="1:25">
      <c r="A25" s="850" t="s">
        <v>259</v>
      </c>
      <c r="B25" s="850"/>
      <c r="C25" s="840"/>
      <c r="D25" s="840"/>
      <c r="E25" s="840"/>
      <c r="F25" s="840"/>
      <c r="G25" s="843"/>
      <c r="H25" s="852"/>
      <c r="I25" s="852"/>
      <c r="J25" s="852"/>
      <c r="K25" s="852"/>
      <c r="L25" s="852"/>
      <c r="M25" s="852"/>
      <c r="N25" s="852"/>
      <c r="O25" s="852"/>
      <c r="P25" s="857"/>
      <c r="Q25" s="852"/>
      <c r="R25" s="858"/>
      <c r="S25" s="852"/>
      <c r="T25" s="857"/>
      <c r="U25" s="853">
        <f t="shared" si="0"/>
        <v>0</v>
      </c>
      <c r="V25" s="850"/>
      <c r="W25" s="855">
        <v>0</v>
      </c>
      <c r="X25" s="850"/>
      <c r="Y25" s="856">
        <f t="shared" si="1"/>
        <v>0</v>
      </c>
    </row>
    <row r="26" spans="1:25">
      <c r="A26" s="850" t="s">
        <v>259</v>
      </c>
      <c r="B26" s="850"/>
      <c r="C26" s="840"/>
      <c r="D26" s="840"/>
      <c r="E26" s="840"/>
      <c r="F26" s="840"/>
      <c r="G26" s="843"/>
      <c r="H26" s="852"/>
      <c r="I26" s="852"/>
      <c r="J26" s="852"/>
      <c r="K26" s="852"/>
      <c r="L26" s="852"/>
      <c r="M26" s="852"/>
      <c r="N26" s="852"/>
      <c r="O26" s="852"/>
      <c r="P26" s="857"/>
      <c r="Q26" s="852"/>
      <c r="R26" s="858"/>
      <c r="S26" s="852"/>
      <c r="T26" s="857"/>
      <c r="U26" s="853">
        <f t="shared" si="0"/>
        <v>0</v>
      </c>
      <c r="V26" s="850"/>
      <c r="W26" s="855">
        <v>0</v>
      </c>
      <c r="X26" s="850"/>
      <c r="Y26" s="856">
        <f t="shared" si="1"/>
        <v>0</v>
      </c>
    </row>
    <row r="27" spans="1:25">
      <c r="A27" s="850" t="s">
        <v>259</v>
      </c>
      <c r="B27" s="850"/>
      <c r="C27" s="840"/>
      <c r="D27" s="840"/>
      <c r="E27" s="840"/>
      <c r="F27" s="840"/>
      <c r="G27" s="843"/>
      <c r="H27" s="852"/>
      <c r="I27" s="852"/>
      <c r="J27" s="852"/>
      <c r="K27" s="852"/>
      <c r="L27" s="852"/>
      <c r="M27" s="852"/>
      <c r="N27" s="852"/>
      <c r="O27" s="852"/>
      <c r="P27" s="857"/>
      <c r="Q27" s="852"/>
      <c r="R27" s="858"/>
      <c r="S27" s="852"/>
      <c r="T27" s="857"/>
      <c r="U27" s="853">
        <f t="shared" si="0"/>
        <v>0</v>
      </c>
      <c r="V27" s="850"/>
      <c r="W27" s="855">
        <v>0</v>
      </c>
      <c r="X27" s="850"/>
      <c r="Y27" s="856">
        <f t="shared" si="1"/>
        <v>0</v>
      </c>
    </row>
    <row r="28" spans="1:25">
      <c r="A28" s="850" t="s">
        <v>259</v>
      </c>
      <c r="B28" s="850"/>
      <c r="C28" s="840"/>
      <c r="D28" s="840"/>
      <c r="E28" s="840"/>
      <c r="F28" s="840"/>
      <c r="G28" s="843"/>
      <c r="H28" s="852"/>
      <c r="I28" s="852"/>
      <c r="J28" s="852"/>
      <c r="K28" s="852"/>
      <c r="L28" s="852"/>
      <c r="M28" s="852"/>
      <c r="N28" s="852"/>
      <c r="O28" s="852"/>
      <c r="P28" s="857"/>
      <c r="Q28" s="852"/>
      <c r="R28" s="858"/>
      <c r="S28" s="852"/>
      <c r="T28" s="857"/>
      <c r="U28" s="853">
        <f t="shared" si="0"/>
        <v>0</v>
      </c>
      <c r="V28" s="850"/>
      <c r="W28" s="855">
        <v>0</v>
      </c>
      <c r="X28" s="850"/>
      <c r="Y28" s="856">
        <f t="shared" si="1"/>
        <v>0</v>
      </c>
    </row>
    <row r="29" spans="1:25">
      <c r="A29" s="850" t="s">
        <v>259</v>
      </c>
      <c r="B29" s="850"/>
      <c r="C29" s="840"/>
      <c r="D29" s="840"/>
      <c r="E29" s="840"/>
      <c r="F29" s="840"/>
      <c r="G29" s="843"/>
      <c r="H29" s="852"/>
      <c r="I29" s="852"/>
      <c r="J29" s="852"/>
      <c r="K29" s="852"/>
      <c r="L29" s="852"/>
      <c r="M29" s="852"/>
      <c r="N29" s="852"/>
      <c r="O29" s="852"/>
      <c r="P29" s="857"/>
      <c r="Q29" s="852"/>
      <c r="R29" s="858"/>
      <c r="S29" s="852"/>
      <c r="T29" s="857"/>
      <c r="U29" s="853">
        <f t="shared" si="0"/>
        <v>0</v>
      </c>
      <c r="V29" s="850"/>
      <c r="W29" s="855">
        <v>0</v>
      </c>
      <c r="X29" s="850"/>
      <c r="Y29" s="856">
        <f t="shared" si="1"/>
        <v>0</v>
      </c>
    </row>
    <row r="30" spans="1:25">
      <c r="A30" s="850" t="s">
        <v>259</v>
      </c>
      <c r="B30" s="850"/>
      <c r="C30" s="840"/>
      <c r="D30" s="840"/>
      <c r="E30" s="840"/>
      <c r="F30" s="840"/>
      <c r="G30" s="843"/>
      <c r="H30" s="852"/>
      <c r="I30" s="852"/>
      <c r="J30" s="852"/>
      <c r="K30" s="852"/>
      <c r="L30" s="852"/>
      <c r="M30" s="852"/>
      <c r="N30" s="852"/>
      <c r="O30" s="852"/>
      <c r="P30" s="857"/>
      <c r="Q30" s="852"/>
      <c r="R30" s="858"/>
      <c r="S30" s="852"/>
      <c r="T30" s="857"/>
      <c r="U30" s="853">
        <f t="shared" si="0"/>
        <v>0</v>
      </c>
      <c r="V30" s="850"/>
      <c r="W30" s="855">
        <v>0</v>
      </c>
      <c r="X30" s="850"/>
      <c r="Y30" s="856">
        <f t="shared" si="1"/>
        <v>0</v>
      </c>
    </row>
    <row r="31" spans="1:25">
      <c r="A31" s="850" t="s">
        <v>259</v>
      </c>
      <c r="B31" s="850"/>
      <c r="C31" s="840"/>
      <c r="D31" s="840"/>
      <c r="E31" s="840"/>
      <c r="F31" s="840"/>
      <c r="G31" s="843"/>
      <c r="H31" s="852"/>
      <c r="I31" s="852"/>
      <c r="J31" s="852"/>
      <c r="K31" s="852"/>
      <c r="L31" s="852"/>
      <c r="M31" s="852"/>
      <c r="N31" s="852"/>
      <c r="O31" s="852"/>
      <c r="P31" s="857"/>
      <c r="Q31" s="852"/>
      <c r="R31" s="858"/>
      <c r="S31" s="852"/>
      <c r="T31" s="857"/>
      <c r="U31" s="853">
        <f t="shared" si="0"/>
        <v>0</v>
      </c>
      <c r="V31" s="850"/>
      <c r="W31" s="855">
        <v>0</v>
      </c>
      <c r="X31" s="850"/>
      <c r="Y31" s="856">
        <f t="shared" si="1"/>
        <v>0</v>
      </c>
    </row>
    <row r="32" spans="1:25">
      <c r="A32" s="850" t="s">
        <v>261</v>
      </c>
      <c r="B32" s="850"/>
      <c r="C32" s="840"/>
      <c r="D32" s="840"/>
      <c r="E32" s="840"/>
      <c r="F32" s="840"/>
      <c r="G32" s="843"/>
      <c r="H32" s="852"/>
      <c r="I32" s="852"/>
      <c r="J32" s="852"/>
      <c r="K32" s="852"/>
      <c r="L32" s="852"/>
      <c r="M32" s="852"/>
      <c r="N32" s="852"/>
      <c r="O32" s="852"/>
      <c r="P32" s="857"/>
      <c r="Q32" s="852"/>
      <c r="R32" s="858"/>
      <c r="S32" s="852"/>
      <c r="T32" s="857"/>
      <c r="U32" s="853">
        <f t="shared" si="0"/>
        <v>0</v>
      </c>
      <c r="V32" s="850"/>
      <c r="W32" s="855">
        <v>0</v>
      </c>
      <c r="X32" s="850"/>
      <c r="Y32" s="859">
        <f t="shared" si="1"/>
        <v>0</v>
      </c>
    </row>
    <row r="33" spans="1:31" s="816" customFormat="1">
      <c r="A33" s="860">
        <v>2</v>
      </c>
      <c r="B33" s="860"/>
      <c r="C33" s="861"/>
      <c r="D33" s="861"/>
      <c r="E33" s="861"/>
      <c r="F33" s="861"/>
      <c r="G33" s="861"/>
      <c r="H33" s="861"/>
      <c r="I33" s="861"/>
      <c r="J33" s="861"/>
      <c r="K33" s="861"/>
      <c r="L33" s="861"/>
      <c r="M33" s="861"/>
      <c r="N33" s="861"/>
      <c r="O33" s="861"/>
      <c r="P33" s="861"/>
      <c r="Q33" s="860"/>
      <c r="R33" s="860"/>
      <c r="S33" s="862"/>
      <c r="T33" s="862"/>
      <c r="U33" s="863" t="s">
        <v>876</v>
      </c>
      <c r="V33" s="863"/>
      <c r="W33" s="863"/>
      <c r="X33" s="864"/>
      <c r="Y33" s="865">
        <f>SUM(Y8:Y32)</f>
        <v>0</v>
      </c>
      <c r="Z33" s="861"/>
      <c r="AA33" s="861"/>
      <c r="AB33" s="861"/>
      <c r="AC33" s="861"/>
      <c r="AD33" s="861"/>
      <c r="AE33" s="861"/>
    </row>
    <row r="34" spans="1:31">
      <c r="V34" s="868"/>
      <c r="W34" s="868"/>
      <c r="X34" s="868"/>
    </row>
    <row r="35" spans="1:31" ht="21.75" customHeight="1">
      <c r="H35" s="861" t="s">
        <v>877</v>
      </c>
      <c r="I35" s="861"/>
      <c r="J35" s="861"/>
      <c r="K35" s="861"/>
      <c r="L35" s="861"/>
      <c r="M35" s="861"/>
      <c r="N35" s="861"/>
      <c r="O35" s="860"/>
      <c r="X35" s="826"/>
    </row>
    <row r="36" spans="1:31" ht="19.5" customHeight="1">
      <c r="A36" s="870"/>
      <c r="B36" s="871"/>
      <c r="C36" s="872"/>
      <c r="D36" s="872"/>
      <c r="E36" s="872"/>
      <c r="F36" s="872"/>
      <c r="G36" s="872"/>
      <c r="H36" s="873" t="s">
        <v>39</v>
      </c>
      <c r="I36" s="826" t="s">
        <v>878</v>
      </c>
      <c r="R36" s="874"/>
      <c r="S36" s="874"/>
      <c r="T36" s="874"/>
      <c r="X36" s="826"/>
    </row>
    <row r="37" spans="1:31" ht="11.25" customHeight="1">
      <c r="A37" s="870"/>
      <c r="B37" s="870"/>
      <c r="C37" s="872"/>
      <c r="D37" s="872"/>
      <c r="E37" s="872"/>
      <c r="F37" s="872"/>
      <c r="G37" s="872"/>
      <c r="H37" s="875"/>
      <c r="I37" s="875"/>
      <c r="J37" s="874"/>
      <c r="K37" s="874"/>
      <c r="L37" s="874"/>
      <c r="M37" s="874"/>
      <c r="N37" s="874"/>
      <c r="O37" s="876"/>
      <c r="P37" s="876"/>
      <c r="Q37" s="876"/>
      <c r="R37" s="876"/>
      <c r="S37" s="876"/>
      <c r="T37" s="876"/>
      <c r="V37" s="826"/>
      <c r="X37" s="826"/>
    </row>
    <row r="38" spans="1:31" ht="11.25" customHeight="1">
      <c r="A38" s="870"/>
      <c r="B38" s="870"/>
      <c r="C38" s="872"/>
      <c r="D38" s="872"/>
      <c r="E38" s="872"/>
      <c r="F38" s="872"/>
      <c r="G38" s="872"/>
      <c r="H38" s="875"/>
      <c r="I38" s="875"/>
      <c r="J38" s="876"/>
      <c r="K38" s="876"/>
      <c r="L38" s="876"/>
      <c r="M38" s="876"/>
      <c r="N38" s="876"/>
      <c r="O38" s="877"/>
      <c r="P38" s="877"/>
      <c r="Q38" s="877"/>
      <c r="R38" s="877"/>
      <c r="S38" s="877"/>
      <c r="T38" s="877"/>
      <c r="V38" s="826"/>
      <c r="X38" s="826"/>
    </row>
    <row r="39" spans="1:31">
      <c r="A39" s="870"/>
      <c r="B39" s="870"/>
      <c r="H39" s="877"/>
      <c r="I39" s="877"/>
      <c r="J39" s="877"/>
      <c r="K39" s="877"/>
      <c r="L39" s="877"/>
      <c r="M39" s="877"/>
      <c r="N39" s="877"/>
      <c r="V39" s="826"/>
      <c r="X39" s="826"/>
    </row>
    <row r="40" spans="1:31">
      <c r="A40" s="870"/>
      <c r="B40" s="870"/>
      <c r="V40" s="860"/>
      <c r="X40" s="826"/>
    </row>
    <row r="41" spans="1:31">
      <c r="A41" s="870"/>
      <c r="B41" s="870"/>
      <c r="C41" s="845"/>
      <c r="D41" s="845"/>
      <c r="E41" s="845"/>
      <c r="F41" s="845"/>
      <c r="V41" s="826"/>
    </row>
    <row r="42" spans="1:31">
      <c r="A42" s="870"/>
      <c r="B42" s="870"/>
      <c r="S42" s="861"/>
      <c r="T42" s="861"/>
      <c r="U42" s="866"/>
      <c r="V42" s="826"/>
    </row>
    <row r="43" spans="1:31">
      <c r="A43" s="870"/>
      <c r="B43" s="870"/>
      <c r="S43" s="861"/>
      <c r="T43" s="861"/>
      <c r="U43" s="866"/>
      <c r="V43" s="826"/>
    </row>
    <row r="44" spans="1:31">
      <c r="A44" s="870"/>
      <c r="B44" s="870"/>
      <c r="S44" s="861"/>
      <c r="T44" s="861"/>
      <c r="U44" s="866"/>
      <c r="V44" s="826"/>
    </row>
    <row r="45" spans="1:31">
      <c r="A45" s="870"/>
      <c r="B45" s="870"/>
      <c r="S45" s="861"/>
      <c r="T45" s="861"/>
      <c r="U45" s="866"/>
    </row>
    <row r="46" spans="1:31">
      <c r="A46" s="870"/>
      <c r="B46" s="870"/>
      <c r="S46" s="861"/>
      <c r="T46" s="861"/>
      <c r="U46" s="866"/>
    </row>
    <row r="47" spans="1:31">
      <c r="A47" s="870"/>
      <c r="B47" s="870"/>
    </row>
  </sheetData>
  <mergeCells count="24">
    <mergeCell ref="V34:X34"/>
    <mergeCell ref="C36:G38"/>
    <mergeCell ref="U6:U7"/>
    <mergeCell ref="V6:V7"/>
    <mergeCell ref="W6:W7"/>
    <mergeCell ref="X6:X7"/>
    <mergeCell ref="Y6:Y7"/>
    <mergeCell ref="U33:W33"/>
    <mergeCell ref="C3:D3"/>
    <mergeCell ref="E3:G3"/>
    <mergeCell ref="L3:P3"/>
    <mergeCell ref="U3:Z3"/>
    <mergeCell ref="A6:A7"/>
    <mergeCell ref="C6:C7"/>
    <mergeCell ref="D6:D7"/>
    <mergeCell ref="E6:E7"/>
    <mergeCell ref="F6:F7"/>
    <mergeCell ref="G6:G7"/>
    <mergeCell ref="A1:G1"/>
    <mergeCell ref="H1:T1"/>
    <mergeCell ref="U1:AA1"/>
    <mergeCell ref="A2:G2"/>
    <mergeCell ref="H2:T2"/>
    <mergeCell ref="U2:AA2"/>
  </mergeCells>
  <pageMargins left="0.7" right="0.7" top="0.75" bottom="0.75" header="0.3" footer="0.3"/>
  <pageSetup scale="42" orientation="landscape" r:id="rId1"/>
  <headerFooter>
    <oddFooter>&amp;RPage &amp;P of &amp;N</oddFooter>
  </headerFooter>
  <colBreaks count="2" manualBreakCount="2">
    <brk id="7" max="35" man="1"/>
    <brk id="20" max="3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4BB45-9571-4ECA-A678-C81C9794CA26}">
  <dimension ref="A2:G77"/>
  <sheetViews>
    <sheetView view="pageBreakPreview" topLeftCell="A4" zoomScaleNormal="100" zoomScaleSheetLayoutView="100" workbookViewId="0">
      <selection activeCell="G16" sqref="G16"/>
    </sheetView>
  </sheetViews>
  <sheetFormatPr defaultRowHeight="15.75"/>
  <cols>
    <col min="1" max="1" width="6.5546875" style="80" customWidth="1"/>
    <col min="2" max="2" width="2.77734375" style="80" customWidth="1"/>
    <col min="3" max="3" width="7.5546875" style="24" customWidth="1"/>
    <col min="4" max="4" width="50.88671875" style="24" customWidth="1"/>
    <col min="5" max="5" width="8.88671875" style="24" bestFit="1" customWidth="1"/>
    <col min="6" max="6" width="25" style="24" customWidth="1"/>
  </cols>
  <sheetData>
    <row r="2" spans="1:7">
      <c r="C2" s="140" t="s">
        <v>879</v>
      </c>
      <c r="D2" s="140"/>
      <c r="E2" s="140"/>
      <c r="F2" s="140"/>
    </row>
    <row r="3" spans="1:7">
      <c r="C3" s="827"/>
      <c r="D3" s="827"/>
      <c r="E3" s="827"/>
      <c r="F3" s="827"/>
    </row>
    <row r="4" spans="1:7">
      <c r="C4" s="622" t="s">
        <v>6</v>
      </c>
      <c r="D4" s="627"/>
      <c r="E4" s="627"/>
      <c r="F4" s="627"/>
    </row>
    <row r="7" spans="1:7">
      <c r="G7" s="878"/>
    </row>
    <row r="8" spans="1:7">
      <c r="A8" s="80" t="s">
        <v>41</v>
      </c>
      <c r="C8" s="24" t="s">
        <v>880</v>
      </c>
      <c r="D8" s="24" t="s">
        <v>881</v>
      </c>
      <c r="F8" s="24" t="s">
        <v>882</v>
      </c>
      <c r="G8" s="495"/>
    </row>
    <row r="9" spans="1:7">
      <c r="C9" s="879" t="s">
        <v>883</v>
      </c>
      <c r="G9" s="495"/>
    </row>
    <row r="10" spans="1:7">
      <c r="A10" s="80">
        <v>1</v>
      </c>
      <c r="C10" s="880" t="s">
        <v>884</v>
      </c>
      <c r="D10" s="24" t="s">
        <v>885</v>
      </c>
      <c r="F10" s="881">
        <v>0</v>
      </c>
      <c r="G10" s="882"/>
    </row>
    <row r="11" spans="1:7">
      <c r="A11" s="80">
        <f>+A10+1</f>
        <v>2</v>
      </c>
      <c r="C11" s="880" t="s">
        <v>886</v>
      </c>
      <c r="D11" s="24" t="s">
        <v>887</v>
      </c>
      <c r="F11" s="881">
        <v>1.3300000000000001E-2</v>
      </c>
      <c r="G11" s="882"/>
    </row>
    <row r="12" spans="1:7">
      <c r="A12" s="80">
        <f>+A10+1</f>
        <v>2</v>
      </c>
      <c r="C12" s="880" t="s">
        <v>888</v>
      </c>
      <c r="D12" s="24" t="s">
        <v>889</v>
      </c>
      <c r="F12" s="881">
        <v>3.3599999999999998E-2</v>
      </c>
      <c r="G12" s="882"/>
    </row>
    <row r="13" spans="1:7">
      <c r="A13" s="80">
        <f t="shared" ref="A13:A14" si="0">+A12+1</f>
        <v>3</v>
      </c>
      <c r="C13" s="880" t="s">
        <v>890</v>
      </c>
      <c r="D13" s="24" t="s">
        <v>891</v>
      </c>
      <c r="F13" s="881">
        <v>2.92E-2</v>
      </c>
      <c r="G13" s="882"/>
    </row>
    <row r="14" spans="1:7">
      <c r="A14" s="80">
        <f t="shared" si="0"/>
        <v>4</v>
      </c>
      <c r="C14" s="880" t="s">
        <v>892</v>
      </c>
      <c r="D14" s="24" t="s">
        <v>893</v>
      </c>
      <c r="F14" s="881">
        <v>0</v>
      </c>
      <c r="G14" s="882"/>
    </row>
    <row r="15" spans="1:7">
      <c r="A15" s="80">
        <f>+A14+1</f>
        <v>5</v>
      </c>
      <c r="C15" s="880" t="s">
        <v>894</v>
      </c>
      <c r="D15" s="24" t="s">
        <v>895</v>
      </c>
      <c r="F15" s="881">
        <v>2.0499999999999997E-2</v>
      </c>
      <c r="G15" s="882"/>
    </row>
    <row r="16" spans="1:7">
      <c r="A16" s="80">
        <f t="shared" ref="A16:A38" si="1">+A15+1</f>
        <v>6</v>
      </c>
      <c r="C16" s="880" t="s">
        <v>896</v>
      </c>
      <c r="D16" s="24" t="s">
        <v>897</v>
      </c>
      <c r="F16" s="881">
        <v>3.1E-2</v>
      </c>
      <c r="G16" s="882"/>
    </row>
    <row r="17" spans="1:7">
      <c r="A17" s="80">
        <f t="shared" si="1"/>
        <v>7</v>
      </c>
      <c r="C17" s="880" t="s">
        <v>898</v>
      </c>
      <c r="D17" s="24" t="s">
        <v>899</v>
      </c>
      <c r="F17" s="881">
        <v>1.1599999999999999E-2</v>
      </c>
      <c r="G17" s="882"/>
    </row>
    <row r="18" spans="1:7">
      <c r="A18" s="80">
        <f t="shared" si="1"/>
        <v>8</v>
      </c>
      <c r="C18" s="880" t="s">
        <v>900</v>
      </c>
      <c r="D18" s="24" t="s">
        <v>901</v>
      </c>
      <c r="F18" s="881">
        <v>1.61E-2</v>
      </c>
      <c r="G18" s="882"/>
    </row>
    <row r="19" spans="1:7">
      <c r="A19" s="80">
        <f t="shared" si="1"/>
        <v>9</v>
      </c>
      <c r="C19" s="880" t="s">
        <v>902</v>
      </c>
      <c r="D19" s="24" t="s">
        <v>903</v>
      </c>
      <c r="F19" s="881">
        <v>0</v>
      </c>
      <c r="G19" s="882"/>
    </row>
    <row r="20" spans="1:7">
      <c r="F20" s="881"/>
      <c r="G20" s="882"/>
    </row>
    <row r="21" spans="1:7">
      <c r="C21" s="880" t="s">
        <v>904</v>
      </c>
      <c r="F21" s="881"/>
      <c r="G21" s="882"/>
    </row>
    <row r="22" spans="1:7">
      <c r="A22" s="80">
        <f>+A19+1</f>
        <v>10</v>
      </c>
      <c r="C22" s="880" t="s">
        <v>905</v>
      </c>
      <c r="D22" s="24" t="s">
        <v>906</v>
      </c>
      <c r="F22" s="881">
        <v>0</v>
      </c>
      <c r="G22" s="882"/>
    </row>
    <row r="23" spans="1:7">
      <c r="A23" s="80">
        <f t="shared" si="1"/>
        <v>11</v>
      </c>
      <c r="C23" s="880" t="s">
        <v>907</v>
      </c>
      <c r="D23" s="24" t="s">
        <v>908</v>
      </c>
      <c r="F23" s="881">
        <v>5.2499999999999998E-2</v>
      </c>
      <c r="G23" s="882"/>
    </row>
    <row r="24" spans="1:7">
      <c r="A24" s="80">
        <f t="shared" si="1"/>
        <v>12</v>
      </c>
      <c r="C24" s="883">
        <v>392</v>
      </c>
      <c r="D24" s="24" t="s">
        <v>909</v>
      </c>
      <c r="F24" s="881">
        <v>0</v>
      </c>
      <c r="G24" s="882"/>
    </row>
    <row r="25" spans="1:7">
      <c r="A25" s="80">
        <f t="shared" si="1"/>
        <v>13</v>
      </c>
      <c r="C25" s="883" t="s">
        <v>910</v>
      </c>
      <c r="D25" s="24" t="s">
        <v>911</v>
      </c>
      <c r="F25" s="881">
        <v>0.1429</v>
      </c>
      <c r="G25" s="882"/>
    </row>
    <row r="26" spans="1:7">
      <c r="A26" s="80">
        <f t="shared" si="1"/>
        <v>14</v>
      </c>
      <c r="C26" s="880" t="s">
        <v>912</v>
      </c>
      <c r="D26" s="24" t="s">
        <v>913</v>
      </c>
      <c r="F26" s="881">
        <v>0</v>
      </c>
      <c r="G26" s="882"/>
    </row>
    <row r="27" spans="1:7">
      <c r="A27" s="80">
        <f t="shared" si="1"/>
        <v>15</v>
      </c>
      <c r="C27" s="880" t="s">
        <v>914</v>
      </c>
      <c r="D27" s="24" t="s">
        <v>915</v>
      </c>
      <c r="F27" s="881">
        <v>0</v>
      </c>
      <c r="G27" s="882"/>
    </row>
    <row r="28" spans="1:7">
      <c r="A28" s="80">
        <f t="shared" si="1"/>
        <v>16</v>
      </c>
      <c r="C28" s="880" t="s">
        <v>916</v>
      </c>
      <c r="D28" s="24" t="s">
        <v>917</v>
      </c>
      <c r="F28" s="881">
        <v>0</v>
      </c>
      <c r="G28" s="882"/>
    </row>
    <row r="29" spans="1:7">
      <c r="A29" s="80">
        <f t="shared" si="1"/>
        <v>17</v>
      </c>
      <c r="C29" s="880" t="s">
        <v>918</v>
      </c>
      <c r="D29" s="24" t="s">
        <v>919</v>
      </c>
      <c r="F29" s="881">
        <v>0.25</v>
      </c>
      <c r="G29" s="882"/>
    </row>
    <row r="30" spans="1:7">
      <c r="A30" s="80">
        <f t="shared" si="1"/>
        <v>18</v>
      </c>
      <c r="C30" s="880" t="s">
        <v>920</v>
      </c>
      <c r="D30" s="24" t="s">
        <v>921</v>
      </c>
      <c r="F30" s="881">
        <v>2.5000000000000001E-2</v>
      </c>
      <c r="G30" s="882"/>
    </row>
    <row r="31" spans="1:7">
      <c r="F31" s="881"/>
      <c r="G31" s="882"/>
    </row>
    <row r="32" spans="1:7">
      <c r="C32" s="880" t="s">
        <v>922</v>
      </c>
      <c r="F32" s="881"/>
      <c r="G32" s="882"/>
    </row>
    <row r="33" spans="1:7">
      <c r="A33" s="80">
        <v>1</v>
      </c>
      <c r="C33" s="880" t="s">
        <v>923</v>
      </c>
      <c r="D33" s="24" t="s">
        <v>924</v>
      </c>
      <c r="F33" s="881">
        <v>1.8500000000000003E-2</v>
      </c>
      <c r="G33" s="882"/>
    </row>
    <row r="34" spans="1:7">
      <c r="A34" s="80">
        <f>+A33+1</f>
        <v>2</v>
      </c>
      <c r="C34" s="25">
        <v>302</v>
      </c>
      <c r="D34" s="24" t="s">
        <v>925</v>
      </c>
      <c r="F34" s="884">
        <v>1.8500000000000003E-2</v>
      </c>
      <c r="G34" s="882"/>
    </row>
    <row r="35" spans="1:7">
      <c r="A35" s="80">
        <f t="shared" si="1"/>
        <v>3</v>
      </c>
      <c r="C35" s="880" t="s">
        <v>926</v>
      </c>
      <c r="D35" s="24" t="s">
        <v>927</v>
      </c>
      <c r="F35" s="881"/>
      <c r="G35" s="882"/>
    </row>
    <row r="36" spans="1:7">
      <c r="A36" s="80">
        <f t="shared" si="1"/>
        <v>4</v>
      </c>
      <c r="C36" s="880"/>
      <c r="D36" s="24" t="s">
        <v>928</v>
      </c>
      <c r="F36" s="881">
        <v>0.2</v>
      </c>
      <c r="G36" s="882"/>
    </row>
    <row r="37" spans="1:7" ht="15" customHeight="1">
      <c r="A37" s="80">
        <f t="shared" si="1"/>
        <v>5</v>
      </c>
      <c r="C37" s="880"/>
      <c r="D37" s="24" t="s">
        <v>929</v>
      </c>
      <c r="F37" s="881">
        <v>0.14285714285714299</v>
      </c>
      <c r="G37" s="882"/>
    </row>
    <row r="38" spans="1:7" ht="15" customHeight="1">
      <c r="A38" s="80">
        <f t="shared" si="1"/>
        <v>6</v>
      </c>
      <c r="C38" s="880"/>
      <c r="D38" s="24" t="s">
        <v>930</v>
      </c>
      <c r="F38" s="881">
        <v>0.1</v>
      </c>
    </row>
    <row r="39" spans="1:7" ht="15" customHeight="1">
      <c r="A39" s="136"/>
      <c r="D39" s="25" t="s">
        <v>931</v>
      </c>
      <c r="F39" s="885" t="s">
        <v>932</v>
      </c>
    </row>
    <row r="40" spans="1:7" ht="16.5" customHeight="1">
      <c r="A40" s="136"/>
    </row>
    <row r="41" spans="1:7" ht="15.75" customHeight="1">
      <c r="A41" s="136"/>
      <c r="C41" s="886" t="s">
        <v>933</v>
      </c>
      <c r="D41" s="886"/>
      <c r="E41" s="886"/>
      <c r="F41" s="886"/>
    </row>
    <row r="42" spans="1:7" ht="15.75" customHeight="1">
      <c r="A42" s="136"/>
      <c r="C42" s="886"/>
      <c r="D42" s="886"/>
      <c r="E42" s="886"/>
      <c r="F42" s="886"/>
    </row>
    <row r="43" spans="1:7" ht="60.75" customHeight="1">
      <c r="A43" s="136"/>
      <c r="C43" s="886"/>
      <c r="D43" s="886"/>
      <c r="E43" s="886"/>
      <c r="F43" s="886"/>
    </row>
    <row r="44" spans="1:7">
      <c r="A44" s="136"/>
      <c r="C44" s="886"/>
      <c r="D44" s="886"/>
      <c r="E44" s="886"/>
      <c r="F44" s="886"/>
    </row>
    <row r="45" spans="1:7">
      <c r="A45" s="136"/>
    </row>
    <row r="46" spans="1:7">
      <c r="A46" s="136"/>
      <c r="C46" s="24" t="s">
        <v>934</v>
      </c>
    </row>
    <row r="47" spans="1:7">
      <c r="A47" s="136"/>
    </row>
    <row r="48" spans="1:7" s="24" customFormat="1">
      <c r="A48" s="136"/>
      <c r="B48" s="80"/>
    </row>
    <row r="49" spans="1:2" s="24" customFormat="1">
      <c r="A49" s="80"/>
      <c r="B49" s="80"/>
    </row>
    <row r="50" spans="1:2" s="24" customFormat="1">
      <c r="A50" s="80"/>
      <c r="B50" s="80"/>
    </row>
    <row r="51" spans="1:2" s="24" customFormat="1">
      <c r="A51" s="80"/>
      <c r="B51" s="80"/>
    </row>
    <row r="52" spans="1:2" s="24" customFormat="1">
      <c r="A52" s="80"/>
      <c r="B52" s="80"/>
    </row>
    <row r="53" spans="1:2" s="24" customFormat="1">
      <c r="A53" s="80"/>
      <c r="B53" s="80"/>
    </row>
    <row r="54" spans="1:2" s="24" customFormat="1">
      <c r="A54" s="80"/>
      <c r="B54" s="80"/>
    </row>
    <row r="55" spans="1:2" s="24" customFormat="1">
      <c r="A55" s="80"/>
      <c r="B55" s="80"/>
    </row>
    <row r="56" spans="1:2" s="24" customFormat="1">
      <c r="A56" s="80"/>
      <c r="B56" s="80"/>
    </row>
    <row r="57" spans="1:2" s="24" customFormat="1">
      <c r="A57" s="80"/>
      <c r="B57" s="80"/>
    </row>
    <row r="58" spans="1:2" s="24" customFormat="1">
      <c r="A58" s="80"/>
      <c r="B58" s="80"/>
    </row>
    <row r="59" spans="1:2" s="24" customFormat="1">
      <c r="A59" s="80"/>
      <c r="B59" s="80"/>
    </row>
    <row r="60" spans="1:2" s="24" customFormat="1">
      <c r="A60" s="80"/>
      <c r="B60" s="80"/>
    </row>
    <row r="61" spans="1:2" s="24" customFormat="1">
      <c r="A61" s="80"/>
      <c r="B61" s="80"/>
    </row>
    <row r="62" spans="1:2" s="24" customFormat="1">
      <c r="A62" s="80"/>
      <c r="B62" s="80"/>
    </row>
    <row r="63" spans="1:2" s="24" customFormat="1">
      <c r="A63" s="80"/>
      <c r="B63" s="80"/>
    </row>
    <row r="64" spans="1:2" s="24" customFormat="1">
      <c r="A64" s="80"/>
      <c r="B64" s="80"/>
    </row>
    <row r="65" spans="1:2" s="24" customFormat="1">
      <c r="A65" s="80"/>
      <c r="B65" s="80"/>
    </row>
    <row r="66" spans="1:2" s="24" customFormat="1">
      <c r="A66" s="80"/>
      <c r="B66" s="80"/>
    </row>
    <row r="67" spans="1:2" s="24" customFormat="1">
      <c r="A67" s="80"/>
      <c r="B67" s="80"/>
    </row>
    <row r="68" spans="1:2" s="24" customFormat="1">
      <c r="A68" s="80"/>
      <c r="B68" s="80"/>
    </row>
    <row r="69" spans="1:2" s="24" customFormat="1">
      <c r="A69" s="80"/>
      <c r="B69" s="80"/>
    </row>
    <row r="70" spans="1:2" s="24" customFormat="1">
      <c r="A70" s="80"/>
      <c r="B70" s="80"/>
    </row>
    <row r="71" spans="1:2" s="24" customFormat="1">
      <c r="A71" s="80"/>
      <c r="B71" s="80"/>
    </row>
    <row r="72" spans="1:2" s="24" customFormat="1">
      <c r="A72" s="80"/>
      <c r="B72" s="80"/>
    </row>
    <row r="73" spans="1:2" s="24" customFormat="1">
      <c r="A73" s="80"/>
      <c r="B73" s="80"/>
    </row>
    <row r="74" spans="1:2" s="24" customFormat="1">
      <c r="A74" s="80"/>
      <c r="B74" s="80"/>
    </row>
    <row r="75" spans="1:2" s="24" customFormat="1">
      <c r="A75" s="80"/>
      <c r="B75" s="80"/>
    </row>
    <row r="76" spans="1:2" s="24" customFormat="1">
      <c r="A76" s="80"/>
      <c r="B76" s="80"/>
    </row>
    <row r="77" spans="1:2" s="24" customFormat="1">
      <c r="A77" s="80"/>
      <c r="B77" s="80"/>
    </row>
  </sheetData>
  <mergeCells count="4">
    <mergeCell ref="C2:F2"/>
    <mergeCell ref="C3:F3"/>
    <mergeCell ref="C4:F4"/>
    <mergeCell ref="C41:F44"/>
  </mergeCells>
  <pageMargins left="0.7" right="0.7" top="0.75" bottom="0.75" header="0.3" footer="0.3"/>
  <pageSetup scale="7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C0791-102A-42F5-894F-96F41BCF0CF0}">
  <sheetPr>
    <pageSetUpPr fitToPage="1"/>
  </sheetPr>
  <dimension ref="A1:XFD30"/>
  <sheetViews>
    <sheetView view="pageBreakPreview" zoomScaleNormal="100" zoomScaleSheetLayoutView="100" workbookViewId="0">
      <selection activeCell="G16" sqref="G16"/>
    </sheetView>
  </sheetViews>
  <sheetFormatPr defaultColWidth="7" defaultRowHeight="15.75"/>
  <cols>
    <col min="1" max="1" width="3.77734375" style="826" customWidth="1"/>
    <col min="2" max="2" width="9.44140625" style="870" customWidth="1"/>
    <col min="3" max="3" width="25" style="870" customWidth="1"/>
    <col min="4" max="4" width="34" style="870" customWidth="1"/>
    <col min="5" max="5" width="8.44140625" style="861" customWidth="1"/>
    <col min="6" max="6" width="7.5546875" style="870" customWidth="1"/>
    <col min="7" max="7" width="7.6640625" style="861" customWidth="1"/>
    <col min="8" max="18" width="7.5546875" style="861" customWidth="1"/>
    <col min="19" max="16384" width="7" style="783"/>
  </cols>
  <sheetData>
    <row r="1" spans="1:16384">
      <c r="A1" s="140" t="s">
        <v>935</v>
      </c>
      <c r="B1" s="140"/>
      <c r="C1" s="140"/>
      <c r="D1" s="140"/>
      <c r="E1" s="140"/>
      <c r="F1" s="140" t="str">
        <f>+A1</f>
        <v>Attachment 10 - Land Held for Future Use</v>
      </c>
      <c r="G1" s="140"/>
      <c r="H1" s="140"/>
      <c r="I1" s="140"/>
      <c r="J1" s="140"/>
      <c r="K1" s="140"/>
      <c r="L1" s="140"/>
      <c r="M1" s="140"/>
      <c r="N1" s="140"/>
      <c r="O1" s="140"/>
      <c r="P1" s="140"/>
      <c r="Q1" s="140"/>
      <c r="R1" s="140"/>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c r="XFD1"/>
    </row>
    <row r="2" spans="1:16384">
      <c r="A2" s="827"/>
      <c r="B2" s="827"/>
      <c r="C2" s="827"/>
      <c r="D2" s="827"/>
      <c r="E2" s="827"/>
      <c r="F2" s="827"/>
      <c r="G2" s="827"/>
      <c r="H2" s="827"/>
      <c r="I2" s="827"/>
      <c r="J2" s="827"/>
      <c r="K2" s="827"/>
      <c r="L2" s="827"/>
      <c r="M2" s="827"/>
      <c r="N2" s="827"/>
      <c r="O2" s="827"/>
      <c r="P2" s="827"/>
      <c r="Q2" s="827"/>
      <c r="R2" s="827"/>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c r="XEZ2"/>
      <c r="XFA2"/>
      <c r="XFB2"/>
      <c r="XFC2"/>
      <c r="XFD2"/>
    </row>
    <row r="3" spans="1:16384">
      <c r="A3" s="622" t="s">
        <v>6</v>
      </c>
      <c r="B3" s="627"/>
      <c r="C3" s="627"/>
      <c r="D3" s="627"/>
      <c r="E3" s="627"/>
      <c r="F3" s="622" t="s">
        <v>6</v>
      </c>
      <c r="G3" s="627"/>
      <c r="H3" s="627"/>
      <c r="I3" s="627"/>
      <c r="J3" s="627"/>
      <c r="K3" s="627"/>
      <c r="L3" s="627"/>
      <c r="M3" s="627"/>
      <c r="N3" s="627"/>
      <c r="O3" s="627"/>
      <c r="P3" s="627"/>
      <c r="Q3" s="627"/>
      <c r="R3" s="627"/>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c r="AUI3"/>
      <c r="AUJ3"/>
      <c r="AUK3"/>
      <c r="AUL3"/>
      <c r="AUM3"/>
      <c r="AUN3"/>
      <c r="AUO3"/>
      <c r="AUP3"/>
      <c r="AUQ3"/>
      <c r="AUR3"/>
      <c r="AUS3"/>
      <c r="AUT3"/>
      <c r="AUU3"/>
      <c r="AUV3"/>
      <c r="AUW3"/>
      <c r="AUX3"/>
      <c r="AUY3"/>
      <c r="AUZ3"/>
      <c r="AVA3"/>
      <c r="AVB3"/>
      <c r="AVC3"/>
      <c r="AVD3"/>
      <c r="AVE3"/>
      <c r="AVF3"/>
      <c r="AVG3"/>
      <c r="AVH3"/>
      <c r="AVI3"/>
      <c r="AVJ3"/>
      <c r="AVK3"/>
      <c r="AVL3"/>
      <c r="AVM3"/>
      <c r="AVN3"/>
      <c r="AVO3"/>
      <c r="AVP3"/>
      <c r="AVQ3"/>
      <c r="AVR3"/>
      <c r="AVS3"/>
      <c r="AVT3"/>
      <c r="AVU3"/>
      <c r="AVV3"/>
      <c r="AVW3"/>
      <c r="AVX3"/>
      <c r="AVY3"/>
      <c r="AVZ3"/>
      <c r="AWA3"/>
      <c r="AWB3"/>
      <c r="AWC3"/>
      <c r="AWD3"/>
      <c r="AWE3"/>
      <c r="AWF3"/>
      <c r="AWG3"/>
      <c r="AWH3"/>
      <c r="AWI3"/>
      <c r="AWJ3"/>
      <c r="AWK3"/>
      <c r="AWL3"/>
      <c r="AWM3"/>
      <c r="AWN3"/>
      <c r="AWO3"/>
      <c r="AWP3"/>
      <c r="AWQ3"/>
      <c r="AWR3"/>
      <c r="AWS3"/>
      <c r="AWT3"/>
      <c r="AWU3"/>
      <c r="AWV3"/>
      <c r="AWW3"/>
      <c r="AWX3"/>
      <c r="AWY3"/>
      <c r="AWZ3"/>
      <c r="AXA3"/>
      <c r="AXB3"/>
      <c r="AXC3"/>
      <c r="AXD3"/>
      <c r="AXE3"/>
      <c r="AXF3"/>
      <c r="AXG3"/>
      <c r="AXH3"/>
      <c r="AXI3"/>
      <c r="AXJ3"/>
      <c r="AXK3"/>
      <c r="AXL3"/>
      <c r="AXM3"/>
      <c r="AXN3"/>
      <c r="AXO3"/>
      <c r="AXP3"/>
      <c r="AXQ3"/>
      <c r="AXR3"/>
      <c r="AXS3"/>
      <c r="AXT3"/>
      <c r="AXU3"/>
      <c r="AXV3"/>
      <c r="AXW3"/>
      <c r="AXX3"/>
      <c r="AXY3"/>
      <c r="AXZ3"/>
      <c r="AYA3"/>
      <c r="AYB3"/>
      <c r="AYC3"/>
      <c r="AYD3"/>
      <c r="AYE3"/>
      <c r="AYF3"/>
      <c r="AYG3"/>
      <c r="AYH3"/>
      <c r="AYI3"/>
      <c r="AYJ3"/>
      <c r="AYK3"/>
      <c r="AYL3"/>
      <c r="AYM3"/>
      <c r="AYN3"/>
      <c r="AYO3"/>
      <c r="AYP3"/>
      <c r="AYQ3"/>
      <c r="AYR3"/>
      <c r="AYS3"/>
      <c r="AYT3"/>
      <c r="AYU3"/>
      <c r="AYV3"/>
      <c r="AYW3"/>
      <c r="AYX3"/>
      <c r="AYY3"/>
      <c r="AYZ3"/>
      <c r="AZA3"/>
      <c r="AZB3"/>
      <c r="AZC3"/>
      <c r="AZD3"/>
      <c r="AZE3"/>
      <c r="AZF3"/>
      <c r="AZG3"/>
      <c r="AZH3"/>
      <c r="AZI3"/>
      <c r="AZJ3"/>
      <c r="AZK3"/>
      <c r="AZL3"/>
      <c r="AZM3"/>
      <c r="AZN3"/>
      <c r="AZO3"/>
      <c r="AZP3"/>
      <c r="AZQ3"/>
      <c r="AZR3"/>
      <c r="AZS3"/>
      <c r="AZT3"/>
      <c r="AZU3"/>
      <c r="AZV3"/>
      <c r="AZW3"/>
      <c r="AZX3"/>
      <c r="AZY3"/>
      <c r="AZZ3"/>
      <c r="BAA3"/>
      <c r="BAB3"/>
      <c r="BAC3"/>
      <c r="BAD3"/>
      <c r="BAE3"/>
      <c r="BAF3"/>
      <c r="BAG3"/>
      <c r="BAH3"/>
      <c r="BAI3"/>
      <c r="BAJ3"/>
      <c r="BAK3"/>
      <c r="BAL3"/>
      <c r="BAM3"/>
      <c r="BAN3"/>
      <c r="BAO3"/>
      <c r="BAP3"/>
      <c r="BAQ3"/>
      <c r="BAR3"/>
      <c r="BAS3"/>
      <c r="BAT3"/>
      <c r="BAU3"/>
      <c r="BAV3"/>
      <c r="BAW3"/>
      <c r="BAX3"/>
      <c r="BAY3"/>
      <c r="BAZ3"/>
      <c r="BBA3"/>
      <c r="BBB3"/>
      <c r="BBC3"/>
      <c r="BBD3"/>
      <c r="BBE3"/>
      <c r="BBF3"/>
      <c r="BBG3"/>
      <c r="BBH3"/>
      <c r="BBI3"/>
      <c r="BBJ3"/>
      <c r="BBK3"/>
      <c r="BBL3"/>
      <c r="BBM3"/>
      <c r="BBN3"/>
      <c r="BBO3"/>
      <c r="BBP3"/>
      <c r="BBQ3"/>
      <c r="BBR3"/>
      <c r="BBS3"/>
      <c r="BBT3"/>
      <c r="BBU3"/>
      <c r="BBV3"/>
      <c r="BBW3"/>
      <c r="BBX3"/>
      <c r="BBY3"/>
      <c r="BBZ3"/>
      <c r="BCA3"/>
      <c r="BCB3"/>
      <c r="BCC3"/>
      <c r="BCD3"/>
      <c r="BCE3"/>
      <c r="BCF3"/>
      <c r="BCG3"/>
      <c r="BCH3"/>
      <c r="BCI3"/>
      <c r="BCJ3"/>
      <c r="BCK3"/>
      <c r="BCL3"/>
      <c r="BCM3"/>
      <c r="BCN3"/>
      <c r="BCO3"/>
      <c r="BCP3"/>
      <c r="BCQ3"/>
      <c r="BCR3"/>
      <c r="BCS3"/>
      <c r="BCT3"/>
      <c r="BCU3"/>
      <c r="BCV3"/>
      <c r="BCW3"/>
      <c r="BCX3"/>
      <c r="BCY3"/>
      <c r="BCZ3"/>
      <c r="BDA3"/>
      <c r="BDB3"/>
      <c r="BDC3"/>
      <c r="BDD3"/>
      <c r="BDE3"/>
      <c r="BDF3"/>
      <c r="BDG3"/>
      <c r="BDH3"/>
      <c r="BDI3"/>
      <c r="BDJ3"/>
      <c r="BDK3"/>
      <c r="BDL3"/>
      <c r="BDM3"/>
      <c r="BDN3"/>
      <c r="BDO3"/>
      <c r="BDP3"/>
      <c r="BDQ3"/>
      <c r="BDR3"/>
      <c r="BDS3"/>
      <c r="BDT3"/>
      <c r="BDU3"/>
      <c r="BDV3"/>
      <c r="BDW3"/>
      <c r="BDX3"/>
      <c r="BDY3"/>
      <c r="BDZ3"/>
      <c r="BEA3"/>
      <c r="BEB3"/>
      <c r="BEC3"/>
      <c r="BED3"/>
      <c r="BEE3"/>
      <c r="BEF3"/>
      <c r="BEG3"/>
      <c r="BEH3"/>
      <c r="BEI3"/>
      <c r="BEJ3"/>
      <c r="BEK3"/>
      <c r="BEL3"/>
      <c r="BEM3"/>
      <c r="BEN3"/>
      <c r="BEO3"/>
      <c r="BEP3"/>
      <c r="BEQ3"/>
      <c r="BER3"/>
      <c r="BES3"/>
      <c r="BET3"/>
      <c r="BEU3"/>
      <c r="BEV3"/>
      <c r="BEW3"/>
      <c r="BEX3"/>
      <c r="BEY3"/>
      <c r="BEZ3"/>
      <c r="BFA3"/>
      <c r="BFB3"/>
      <c r="BFC3"/>
      <c r="BFD3"/>
      <c r="BFE3"/>
      <c r="BFF3"/>
      <c r="BFG3"/>
      <c r="BFH3"/>
      <c r="BFI3"/>
      <c r="BFJ3"/>
      <c r="BFK3"/>
      <c r="BFL3"/>
      <c r="BFM3"/>
      <c r="BFN3"/>
      <c r="BFO3"/>
      <c r="BFP3"/>
      <c r="BFQ3"/>
      <c r="BFR3"/>
      <c r="BFS3"/>
      <c r="BFT3"/>
      <c r="BFU3"/>
      <c r="BFV3"/>
      <c r="BFW3"/>
      <c r="BFX3"/>
      <c r="BFY3"/>
      <c r="BFZ3"/>
      <c r="BGA3"/>
      <c r="BGB3"/>
      <c r="BGC3"/>
      <c r="BGD3"/>
      <c r="BGE3"/>
      <c r="BGF3"/>
      <c r="BGG3"/>
      <c r="BGH3"/>
      <c r="BGI3"/>
      <c r="BGJ3"/>
      <c r="BGK3"/>
      <c r="BGL3"/>
      <c r="BGM3"/>
      <c r="BGN3"/>
      <c r="BGO3"/>
      <c r="BGP3"/>
      <c r="BGQ3"/>
      <c r="BGR3"/>
      <c r="BGS3"/>
      <c r="BGT3"/>
      <c r="BGU3"/>
      <c r="BGV3"/>
      <c r="BGW3"/>
      <c r="BGX3"/>
      <c r="BGY3"/>
      <c r="BGZ3"/>
      <c r="BHA3"/>
      <c r="BHB3"/>
      <c r="BHC3"/>
      <c r="BHD3"/>
      <c r="BHE3"/>
      <c r="BHF3"/>
      <c r="BHG3"/>
      <c r="BHH3"/>
      <c r="BHI3"/>
      <c r="BHJ3"/>
      <c r="BHK3"/>
      <c r="BHL3"/>
      <c r="BHM3"/>
      <c r="BHN3"/>
      <c r="BHO3"/>
      <c r="BHP3"/>
      <c r="BHQ3"/>
      <c r="BHR3"/>
      <c r="BHS3"/>
      <c r="BHT3"/>
      <c r="BHU3"/>
      <c r="BHV3"/>
      <c r="BHW3"/>
      <c r="BHX3"/>
      <c r="BHY3"/>
      <c r="BHZ3"/>
      <c r="BIA3"/>
      <c r="BIB3"/>
      <c r="BIC3"/>
      <c r="BID3"/>
      <c r="BIE3"/>
      <c r="BIF3"/>
      <c r="BIG3"/>
      <c r="BIH3"/>
      <c r="BII3"/>
      <c r="BIJ3"/>
      <c r="BIK3"/>
      <c r="BIL3"/>
      <c r="BIM3"/>
      <c r="BIN3"/>
      <c r="BIO3"/>
      <c r="BIP3"/>
      <c r="BIQ3"/>
      <c r="BIR3"/>
      <c r="BIS3"/>
      <c r="BIT3"/>
      <c r="BIU3"/>
      <c r="BIV3"/>
      <c r="BIW3"/>
      <c r="BIX3"/>
      <c r="BIY3"/>
      <c r="BIZ3"/>
      <c r="BJA3"/>
      <c r="BJB3"/>
      <c r="BJC3"/>
      <c r="BJD3"/>
      <c r="BJE3"/>
      <c r="BJF3"/>
      <c r="BJG3"/>
      <c r="BJH3"/>
      <c r="BJI3"/>
      <c r="BJJ3"/>
      <c r="BJK3"/>
      <c r="BJL3"/>
      <c r="BJM3"/>
      <c r="BJN3"/>
      <c r="BJO3"/>
      <c r="BJP3"/>
      <c r="BJQ3"/>
      <c r="BJR3"/>
      <c r="BJS3"/>
      <c r="BJT3"/>
      <c r="BJU3"/>
      <c r="BJV3"/>
      <c r="BJW3"/>
      <c r="BJX3"/>
      <c r="BJY3"/>
      <c r="BJZ3"/>
      <c r="BKA3"/>
      <c r="BKB3"/>
      <c r="BKC3"/>
      <c r="BKD3"/>
      <c r="BKE3"/>
      <c r="BKF3"/>
      <c r="BKG3"/>
      <c r="BKH3"/>
      <c r="BKI3"/>
      <c r="BKJ3"/>
      <c r="BKK3"/>
      <c r="BKL3"/>
      <c r="BKM3"/>
      <c r="BKN3"/>
      <c r="BKO3"/>
      <c r="BKP3"/>
      <c r="BKQ3"/>
      <c r="BKR3"/>
      <c r="BKS3"/>
      <c r="BKT3"/>
      <c r="BKU3"/>
      <c r="BKV3"/>
      <c r="BKW3"/>
      <c r="BKX3"/>
      <c r="BKY3"/>
      <c r="BKZ3"/>
      <c r="BLA3"/>
      <c r="BLB3"/>
      <c r="BLC3"/>
      <c r="BLD3"/>
      <c r="BLE3"/>
      <c r="BLF3"/>
      <c r="BLG3"/>
      <c r="BLH3"/>
      <c r="BLI3"/>
      <c r="BLJ3"/>
      <c r="BLK3"/>
      <c r="BLL3"/>
      <c r="BLM3"/>
      <c r="BLN3"/>
      <c r="BLO3"/>
      <c r="BLP3"/>
      <c r="BLQ3"/>
      <c r="BLR3"/>
      <c r="BLS3"/>
      <c r="BLT3"/>
      <c r="BLU3"/>
      <c r="BLV3"/>
      <c r="BLW3"/>
      <c r="BLX3"/>
      <c r="BLY3"/>
      <c r="BLZ3"/>
      <c r="BMA3"/>
      <c r="BMB3"/>
      <c r="BMC3"/>
      <c r="BMD3"/>
      <c r="BME3"/>
      <c r="BMF3"/>
      <c r="BMG3"/>
      <c r="BMH3"/>
      <c r="BMI3"/>
      <c r="BMJ3"/>
      <c r="BMK3"/>
      <c r="BML3"/>
      <c r="BMM3"/>
      <c r="BMN3"/>
      <c r="BMO3"/>
      <c r="BMP3"/>
      <c r="BMQ3"/>
      <c r="BMR3"/>
      <c r="BMS3"/>
      <c r="BMT3"/>
      <c r="BMU3"/>
      <c r="BMV3"/>
      <c r="BMW3"/>
      <c r="BMX3"/>
      <c r="BMY3"/>
      <c r="BMZ3"/>
      <c r="BNA3"/>
      <c r="BNB3"/>
      <c r="BNC3"/>
      <c r="BND3"/>
      <c r="BNE3"/>
      <c r="BNF3"/>
      <c r="BNG3"/>
      <c r="BNH3"/>
      <c r="BNI3"/>
      <c r="BNJ3"/>
      <c r="BNK3"/>
      <c r="BNL3"/>
      <c r="BNM3"/>
      <c r="BNN3"/>
      <c r="BNO3"/>
      <c r="BNP3"/>
      <c r="BNQ3"/>
      <c r="BNR3"/>
      <c r="BNS3"/>
      <c r="BNT3"/>
      <c r="BNU3"/>
      <c r="BNV3"/>
      <c r="BNW3"/>
      <c r="BNX3"/>
      <c r="BNY3"/>
      <c r="BNZ3"/>
      <c r="BOA3"/>
      <c r="BOB3"/>
      <c r="BOC3"/>
      <c r="BOD3"/>
      <c r="BOE3"/>
      <c r="BOF3"/>
      <c r="BOG3"/>
      <c r="BOH3"/>
      <c r="BOI3"/>
      <c r="BOJ3"/>
      <c r="BOK3"/>
      <c r="BOL3"/>
      <c r="BOM3"/>
      <c r="BON3"/>
      <c r="BOO3"/>
      <c r="BOP3"/>
      <c r="BOQ3"/>
      <c r="BOR3"/>
      <c r="BOS3"/>
      <c r="BOT3"/>
      <c r="BOU3"/>
      <c r="BOV3"/>
      <c r="BOW3"/>
      <c r="BOX3"/>
      <c r="BOY3"/>
      <c r="BOZ3"/>
      <c r="BPA3"/>
      <c r="BPB3"/>
      <c r="BPC3"/>
      <c r="BPD3"/>
      <c r="BPE3"/>
      <c r="BPF3"/>
      <c r="BPG3"/>
      <c r="BPH3"/>
      <c r="BPI3"/>
      <c r="BPJ3"/>
      <c r="BPK3"/>
      <c r="BPL3"/>
      <c r="BPM3"/>
      <c r="BPN3"/>
      <c r="BPO3"/>
      <c r="BPP3"/>
      <c r="BPQ3"/>
      <c r="BPR3"/>
      <c r="BPS3"/>
      <c r="BPT3"/>
      <c r="BPU3"/>
      <c r="BPV3"/>
      <c r="BPW3"/>
      <c r="BPX3"/>
      <c r="BPY3"/>
      <c r="BPZ3"/>
      <c r="BQA3"/>
      <c r="BQB3"/>
      <c r="BQC3"/>
      <c r="BQD3"/>
      <c r="BQE3"/>
      <c r="BQF3"/>
      <c r="BQG3"/>
      <c r="BQH3"/>
      <c r="BQI3"/>
      <c r="BQJ3"/>
      <c r="BQK3"/>
      <c r="BQL3"/>
      <c r="BQM3"/>
      <c r="BQN3"/>
      <c r="BQO3"/>
      <c r="BQP3"/>
      <c r="BQQ3"/>
      <c r="BQR3"/>
      <c r="BQS3"/>
      <c r="BQT3"/>
      <c r="BQU3"/>
      <c r="BQV3"/>
      <c r="BQW3"/>
      <c r="BQX3"/>
      <c r="BQY3"/>
      <c r="BQZ3"/>
      <c r="BRA3"/>
      <c r="BRB3"/>
      <c r="BRC3"/>
      <c r="BRD3"/>
      <c r="BRE3"/>
      <c r="BRF3"/>
      <c r="BRG3"/>
      <c r="BRH3"/>
      <c r="BRI3"/>
      <c r="BRJ3"/>
      <c r="BRK3"/>
      <c r="BRL3"/>
      <c r="BRM3"/>
      <c r="BRN3"/>
      <c r="BRO3"/>
      <c r="BRP3"/>
      <c r="BRQ3"/>
      <c r="BRR3"/>
      <c r="BRS3"/>
      <c r="BRT3"/>
      <c r="BRU3"/>
      <c r="BRV3"/>
      <c r="BRW3"/>
      <c r="BRX3"/>
      <c r="BRY3"/>
      <c r="BRZ3"/>
      <c r="BSA3"/>
      <c r="BSB3"/>
      <c r="BSC3"/>
      <c r="BSD3"/>
      <c r="BSE3"/>
      <c r="BSF3"/>
      <c r="BSG3"/>
      <c r="BSH3"/>
      <c r="BSI3"/>
      <c r="BSJ3"/>
      <c r="BSK3"/>
      <c r="BSL3"/>
      <c r="BSM3"/>
      <c r="BSN3"/>
      <c r="BSO3"/>
      <c r="BSP3"/>
      <c r="BSQ3"/>
      <c r="BSR3"/>
      <c r="BSS3"/>
      <c r="BST3"/>
      <c r="BSU3"/>
      <c r="BSV3"/>
      <c r="BSW3"/>
      <c r="BSX3"/>
      <c r="BSY3"/>
      <c r="BSZ3"/>
      <c r="BTA3"/>
      <c r="BTB3"/>
      <c r="BTC3"/>
      <c r="BTD3"/>
      <c r="BTE3"/>
      <c r="BTF3"/>
      <c r="BTG3"/>
      <c r="BTH3"/>
      <c r="BTI3"/>
      <c r="BTJ3"/>
      <c r="BTK3"/>
      <c r="BTL3"/>
      <c r="BTM3"/>
      <c r="BTN3"/>
      <c r="BTO3"/>
      <c r="BTP3"/>
      <c r="BTQ3"/>
      <c r="BTR3"/>
      <c r="BTS3"/>
      <c r="BTT3"/>
      <c r="BTU3"/>
      <c r="BTV3"/>
      <c r="BTW3"/>
      <c r="BTX3"/>
      <c r="BTY3"/>
      <c r="BTZ3"/>
      <c r="BUA3"/>
      <c r="BUB3"/>
      <c r="BUC3"/>
      <c r="BUD3"/>
      <c r="BUE3"/>
      <c r="BUF3"/>
      <c r="BUG3"/>
      <c r="BUH3"/>
      <c r="BUI3"/>
      <c r="BUJ3"/>
      <c r="BUK3"/>
      <c r="BUL3"/>
      <c r="BUM3"/>
      <c r="BUN3"/>
      <c r="BUO3"/>
      <c r="BUP3"/>
      <c r="BUQ3"/>
      <c r="BUR3"/>
      <c r="BUS3"/>
      <c r="BUT3"/>
      <c r="BUU3"/>
      <c r="BUV3"/>
      <c r="BUW3"/>
      <c r="BUX3"/>
      <c r="BUY3"/>
      <c r="BUZ3"/>
      <c r="BVA3"/>
      <c r="BVB3"/>
      <c r="BVC3"/>
      <c r="BVD3"/>
      <c r="BVE3"/>
      <c r="BVF3"/>
      <c r="BVG3"/>
      <c r="BVH3"/>
      <c r="BVI3"/>
      <c r="BVJ3"/>
      <c r="BVK3"/>
      <c r="BVL3"/>
      <c r="BVM3"/>
      <c r="BVN3"/>
      <c r="BVO3"/>
      <c r="BVP3"/>
      <c r="BVQ3"/>
      <c r="BVR3"/>
      <c r="BVS3"/>
      <c r="BVT3"/>
      <c r="BVU3"/>
      <c r="BVV3"/>
      <c r="BVW3"/>
      <c r="BVX3"/>
      <c r="BVY3"/>
      <c r="BVZ3"/>
      <c r="BWA3"/>
      <c r="BWB3"/>
      <c r="BWC3"/>
      <c r="BWD3"/>
      <c r="BWE3"/>
      <c r="BWF3"/>
      <c r="BWG3"/>
      <c r="BWH3"/>
      <c r="BWI3"/>
      <c r="BWJ3"/>
      <c r="BWK3"/>
      <c r="BWL3"/>
      <c r="BWM3"/>
      <c r="BWN3"/>
      <c r="BWO3"/>
      <c r="BWP3"/>
      <c r="BWQ3"/>
      <c r="BWR3"/>
      <c r="BWS3"/>
      <c r="BWT3"/>
      <c r="BWU3"/>
      <c r="BWV3"/>
      <c r="BWW3"/>
      <c r="BWX3"/>
      <c r="BWY3"/>
      <c r="BWZ3"/>
      <c r="BXA3"/>
      <c r="BXB3"/>
      <c r="BXC3"/>
      <c r="BXD3"/>
      <c r="BXE3"/>
      <c r="BXF3"/>
      <c r="BXG3"/>
      <c r="BXH3"/>
      <c r="BXI3"/>
      <c r="BXJ3"/>
      <c r="BXK3"/>
      <c r="BXL3"/>
      <c r="BXM3"/>
      <c r="BXN3"/>
      <c r="BXO3"/>
      <c r="BXP3"/>
      <c r="BXQ3"/>
      <c r="BXR3"/>
      <c r="BXS3"/>
      <c r="BXT3"/>
      <c r="BXU3"/>
      <c r="BXV3"/>
      <c r="BXW3"/>
      <c r="BXX3"/>
      <c r="BXY3"/>
      <c r="BXZ3"/>
      <c r="BYA3"/>
      <c r="BYB3"/>
      <c r="BYC3"/>
      <c r="BYD3"/>
      <c r="BYE3"/>
      <c r="BYF3"/>
      <c r="BYG3"/>
      <c r="BYH3"/>
      <c r="BYI3"/>
      <c r="BYJ3"/>
      <c r="BYK3"/>
      <c r="BYL3"/>
      <c r="BYM3"/>
      <c r="BYN3"/>
      <c r="BYO3"/>
      <c r="BYP3"/>
      <c r="BYQ3"/>
      <c r="BYR3"/>
      <c r="BYS3"/>
      <c r="BYT3"/>
      <c r="BYU3"/>
      <c r="BYV3"/>
      <c r="BYW3"/>
      <c r="BYX3"/>
      <c r="BYY3"/>
      <c r="BYZ3"/>
      <c r="BZA3"/>
      <c r="BZB3"/>
      <c r="BZC3"/>
      <c r="BZD3"/>
      <c r="BZE3"/>
      <c r="BZF3"/>
      <c r="BZG3"/>
      <c r="BZH3"/>
      <c r="BZI3"/>
      <c r="BZJ3"/>
      <c r="BZK3"/>
      <c r="BZL3"/>
      <c r="BZM3"/>
      <c r="BZN3"/>
      <c r="BZO3"/>
      <c r="BZP3"/>
      <c r="BZQ3"/>
      <c r="BZR3"/>
      <c r="BZS3"/>
      <c r="BZT3"/>
      <c r="BZU3"/>
      <c r="BZV3"/>
      <c r="BZW3"/>
      <c r="BZX3"/>
      <c r="BZY3"/>
      <c r="BZZ3"/>
      <c r="CAA3"/>
      <c r="CAB3"/>
      <c r="CAC3"/>
      <c r="CAD3"/>
      <c r="CAE3"/>
      <c r="CAF3"/>
      <c r="CAG3"/>
      <c r="CAH3"/>
      <c r="CAI3"/>
      <c r="CAJ3"/>
      <c r="CAK3"/>
      <c r="CAL3"/>
      <c r="CAM3"/>
      <c r="CAN3"/>
      <c r="CAO3"/>
      <c r="CAP3"/>
      <c r="CAQ3"/>
      <c r="CAR3"/>
      <c r="CAS3"/>
      <c r="CAT3"/>
      <c r="CAU3"/>
      <c r="CAV3"/>
      <c r="CAW3"/>
      <c r="CAX3"/>
      <c r="CAY3"/>
      <c r="CAZ3"/>
      <c r="CBA3"/>
      <c r="CBB3"/>
      <c r="CBC3"/>
      <c r="CBD3"/>
      <c r="CBE3"/>
      <c r="CBF3"/>
      <c r="CBG3"/>
      <c r="CBH3"/>
      <c r="CBI3"/>
      <c r="CBJ3"/>
      <c r="CBK3"/>
      <c r="CBL3"/>
      <c r="CBM3"/>
      <c r="CBN3"/>
      <c r="CBO3"/>
      <c r="CBP3"/>
      <c r="CBQ3"/>
      <c r="CBR3"/>
      <c r="CBS3"/>
      <c r="CBT3"/>
      <c r="CBU3"/>
      <c r="CBV3"/>
      <c r="CBW3"/>
      <c r="CBX3"/>
      <c r="CBY3"/>
      <c r="CBZ3"/>
      <c r="CCA3"/>
      <c r="CCB3"/>
      <c r="CCC3"/>
      <c r="CCD3"/>
      <c r="CCE3"/>
      <c r="CCF3"/>
      <c r="CCG3"/>
      <c r="CCH3"/>
      <c r="CCI3"/>
      <c r="CCJ3"/>
      <c r="CCK3"/>
      <c r="CCL3"/>
      <c r="CCM3"/>
      <c r="CCN3"/>
      <c r="CCO3"/>
      <c r="CCP3"/>
      <c r="CCQ3"/>
      <c r="CCR3"/>
      <c r="CCS3"/>
      <c r="CCT3"/>
      <c r="CCU3"/>
      <c r="CCV3"/>
      <c r="CCW3"/>
      <c r="CCX3"/>
      <c r="CCY3"/>
      <c r="CCZ3"/>
      <c r="CDA3"/>
      <c r="CDB3"/>
      <c r="CDC3"/>
      <c r="CDD3"/>
      <c r="CDE3"/>
      <c r="CDF3"/>
      <c r="CDG3"/>
      <c r="CDH3"/>
      <c r="CDI3"/>
      <c r="CDJ3"/>
      <c r="CDK3"/>
      <c r="CDL3"/>
      <c r="CDM3"/>
      <c r="CDN3"/>
      <c r="CDO3"/>
      <c r="CDP3"/>
      <c r="CDQ3"/>
      <c r="CDR3"/>
      <c r="CDS3"/>
      <c r="CDT3"/>
      <c r="CDU3"/>
      <c r="CDV3"/>
      <c r="CDW3"/>
      <c r="CDX3"/>
      <c r="CDY3"/>
      <c r="CDZ3"/>
      <c r="CEA3"/>
      <c r="CEB3"/>
      <c r="CEC3"/>
      <c r="CED3"/>
      <c r="CEE3"/>
      <c r="CEF3"/>
      <c r="CEG3"/>
      <c r="CEH3"/>
      <c r="CEI3"/>
      <c r="CEJ3"/>
      <c r="CEK3"/>
      <c r="CEL3"/>
      <c r="CEM3"/>
      <c r="CEN3"/>
      <c r="CEO3"/>
      <c r="CEP3"/>
      <c r="CEQ3"/>
      <c r="CER3"/>
      <c r="CES3"/>
      <c r="CET3"/>
      <c r="CEU3"/>
      <c r="CEV3"/>
      <c r="CEW3"/>
      <c r="CEX3"/>
      <c r="CEY3"/>
      <c r="CEZ3"/>
      <c r="CFA3"/>
      <c r="CFB3"/>
      <c r="CFC3"/>
      <c r="CFD3"/>
      <c r="CFE3"/>
      <c r="CFF3"/>
      <c r="CFG3"/>
      <c r="CFH3"/>
      <c r="CFI3"/>
      <c r="CFJ3"/>
      <c r="CFK3"/>
      <c r="CFL3"/>
      <c r="CFM3"/>
      <c r="CFN3"/>
      <c r="CFO3"/>
      <c r="CFP3"/>
      <c r="CFQ3"/>
      <c r="CFR3"/>
      <c r="CFS3"/>
      <c r="CFT3"/>
      <c r="CFU3"/>
      <c r="CFV3"/>
      <c r="CFW3"/>
      <c r="CFX3"/>
      <c r="CFY3"/>
      <c r="CFZ3"/>
      <c r="CGA3"/>
      <c r="CGB3"/>
      <c r="CGC3"/>
      <c r="CGD3"/>
      <c r="CGE3"/>
      <c r="CGF3"/>
      <c r="CGG3"/>
      <c r="CGH3"/>
      <c r="CGI3"/>
      <c r="CGJ3"/>
      <c r="CGK3"/>
      <c r="CGL3"/>
      <c r="CGM3"/>
      <c r="CGN3"/>
      <c r="CGO3"/>
      <c r="CGP3"/>
      <c r="CGQ3"/>
      <c r="CGR3"/>
      <c r="CGS3"/>
      <c r="CGT3"/>
      <c r="CGU3"/>
      <c r="CGV3"/>
      <c r="CGW3"/>
      <c r="CGX3"/>
      <c r="CGY3"/>
      <c r="CGZ3"/>
      <c r="CHA3"/>
      <c r="CHB3"/>
      <c r="CHC3"/>
      <c r="CHD3"/>
      <c r="CHE3"/>
      <c r="CHF3"/>
      <c r="CHG3"/>
      <c r="CHH3"/>
      <c r="CHI3"/>
      <c r="CHJ3"/>
      <c r="CHK3"/>
      <c r="CHL3"/>
      <c r="CHM3"/>
      <c r="CHN3"/>
      <c r="CHO3"/>
      <c r="CHP3"/>
      <c r="CHQ3"/>
      <c r="CHR3"/>
      <c r="CHS3"/>
      <c r="CHT3"/>
      <c r="CHU3"/>
      <c r="CHV3"/>
      <c r="CHW3"/>
      <c r="CHX3"/>
      <c r="CHY3"/>
      <c r="CHZ3"/>
      <c r="CIA3"/>
      <c r="CIB3"/>
      <c r="CIC3"/>
      <c r="CID3"/>
      <c r="CIE3"/>
      <c r="CIF3"/>
      <c r="CIG3"/>
      <c r="CIH3"/>
      <c r="CII3"/>
      <c r="CIJ3"/>
      <c r="CIK3"/>
      <c r="CIL3"/>
      <c r="CIM3"/>
      <c r="CIN3"/>
      <c r="CIO3"/>
      <c r="CIP3"/>
      <c r="CIQ3"/>
      <c r="CIR3"/>
      <c r="CIS3"/>
      <c r="CIT3"/>
      <c r="CIU3"/>
      <c r="CIV3"/>
      <c r="CIW3"/>
      <c r="CIX3"/>
      <c r="CIY3"/>
      <c r="CIZ3"/>
      <c r="CJA3"/>
      <c r="CJB3"/>
      <c r="CJC3"/>
      <c r="CJD3"/>
      <c r="CJE3"/>
      <c r="CJF3"/>
      <c r="CJG3"/>
      <c r="CJH3"/>
      <c r="CJI3"/>
      <c r="CJJ3"/>
      <c r="CJK3"/>
      <c r="CJL3"/>
      <c r="CJM3"/>
      <c r="CJN3"/>
      <c r="CJO3"/>
      <c r="CJP3"/>
      <c r="CJQ3"/>
      <c r="CJR3"/>
      <c r="CJS3"/>
      <c r="CJT3"/>
      <c r="CJU3"/>
      <c r="CJV3"/>
      <c r="CJW3"/>
      <c r="CJX3"/>
      <c r="CJY3"/>
      <c r="CJZ3"/>
      <c r="CKA3"/>
      <c r="CKB3"/>
      <c r="CKC3"/>
      <c r="CKD3"/>
      <c r="CKE3"/>
      <c r="CKF3"/>
      <c r="CKG3"/>
      <c r="CKH3"/>
      <c r="CKI3"/>
      <c r="CKJ3"/>
      <c r="CKK3"/>
      <c r="CKL3"/>
      <c r="CKM3"/>
      <c r="CKN3"/>
      <c r="CKO3"/>
      <c r="CKP3"/>
      <c r="CKQ3"/>
      <c r="CKR3"/>
      <c r="CKS3"/>
      <c r="CKT3"/>
      <c r="CKU3"/>
      <c r="CKV3"/>
      <c r="CKW3"/>
      <c r="CKX3"/>
      <c r="CKY3"/>
      <c r="CKZ3"/>
      <c r="CLA3"/>
      <c r="CLB3"/>
      <c r="CLC3"/>
      <c r="CLD3"/>
      <c r="CLE3"/>
      <c r="CLF3"/>
      <c r="CLG3"/>
      <c r="CLH3"/>
      <c r="CLI3"/>
      <c r="CLJ3"/>
      <c r="CLK3"/>
      <c r="CLL3"/>
      <c r="CLM3"/>
      <c r="CLN3"/>
      <c r="CLO3"/>
      <c r="CLP3"/>
      <c r="CLQ3"/>
      <c r="CLR3"/>
      <c r="CLS3"/>
      <c r="CLT3"/>
      <c r="CLU3"/>
      <c r="CLV3"/>
      <c r="CLW3"/>
      <c r="CLX3"/>
      <c r="CLY3"/>
      <c r="CLZ3"/>
      <c r="CMA3"/>
      <c r="CMB3"/>
      <c r="CMC3"/>
      <c r="CMD3"/>
      <c r="CME3"/>
      <c r="CMF3"/>
      <c r="CMG3"/>
      <c r="CMH3"/>
      <c r="CMI3"/>
      <c r="CMJ3"/>
      <c r="CMK3"/>
      <c r="CML3"/>
      <c r="CMM3"/>
      <c r="CMN3"/>
      <c r="CMO3"/>
      <c r="CMP3"/>
      <c r="CMQ3"/>
      <c r="CMR3"/>
      <c r="CMS3"/>
      <c r="CMT3"/>
      <c r="CMU3"/>
      <c r="CMV3"/>
      <c r="CMW3"/>
      <c r="CMX3"/>
      <c r="CMY3"/>
      <c r="CMZ3"/>
      <c r="CNA3"/>
      <c r="CNB3"/>
      <c r="CNC3"/>
      <c r="CND3"/>
      <c r="CNE3"/>
      <c r="CNF3"/>
      <c r="CNG3"/>
      <c r="CNH3"/>
      <c r="CNI3"/>
      <c r="CNJ3"/>
      <c r="CNK3"/>
      <c r="CNL3"/>
      <c r="CNM3"/>
      <c r="CNN3"/>
      <c r="CNO3"/>
      <c r="CNP3"/>
      <c r="CNQ3"/>
      <c r="CNR3"/>
      <c r="CNS3"/>
      <c r="CNT3"/>
      <c r="CNU3"/>
      <c r="CNV3"/>
      <c r="CNW3"/>
      <c r="CNX3"/>
      <c r="CNY3"/>
      <c r="CNZ3"/>
      <c r="COA3"/>
      <c r="COB3"/>
      <c r="COC3"/>
      <c r="COD3"/>
      <c r="COE3"/>
      <c r="COF3"/>
      <c r="COG3"/>
      <c r="COH3"/>
      <c r="COI3"/>
      <c r="COJ3"/>
      <c r="COK3"/>
      <c r="COL3"/>
      <c r="COM3"/>
      <c r="CON3"/>
      <c r="COO3"/>
      <c r="COP3"/>
      <c r="COQ3"/>
      <c r="COR3"/>
      <c r="COS3"/>
      <c r="COT3"/>
      <c r="COU3"/>
      <c r="COV3"/>
      <c r="COW3"/>
      <c r="COX3"/>
      <c r="COY3"/>
      <c r="COZ3"/>
      <c r="CPA3"/>
      <c r="CPB3"/>
      <c r="CPC3"/>
      <c r="CPD3"/>
      <c r="CPE3"/>
      <c r="CPF3"/>
      <c r="CPG3"/>
      <c r="CPH3"/>
      <c r="CPI3"/>
      <c r="CPJ3"/>
      <c r="CPK3"/>
      <c r="CPL3"/>
      <c r="CPM3"/>
      <c r="CPN3"/>
      <c r="CPO3"/>
      <c r="CPP3"/>
      <c r="CPQ3"/>
      <c r="CPR3"/>
      <c r="CPS3"/>
      <c r="CPT3"/>
      <c r="CPU3"/>
      <c r="CPV3"/>
      <c r="CPW3"/>
      <c r="CPX3"/>
      <c r="CPY3"/>
      <c r="CPZ3"/>
      <c r="CQA3"/>
      <c r="CQB3"/>
      <c r="CQC3"/>
      <c r="CQD3"/>
      <c r="CQE3"/>
      <c r="CQF3"/>
      <c r="CQG3"/>
      <c r="CQH3"/>
      <c r="CQI3"/>
      <c r="CQJ3"/>
      <c r="CQK3"/>
      <c r="CQL3"/>
      <c r="CQM3"/>
      <c r="CQN3"/>
      <c r="CQO3"/>
      <c r="CQP3"/>
      <c r="CQQ3"/>
      <c r="CQR3"/>
      <c r="CQS3"/>
      <c r="CQT3"/>
      <c r="CQU3"/>
      <c r="CQV3"/>
      <c r="CQW3"/>
      <c r="CQX3"/>
      <c r="CQY3"/>
      <c r="CQZ3"/>
      <c r="CRA3"/>
      <c r="CRB3"/>
      <c r="CRC3"/>
      <c r="CRD3"/>
      <c r="CRE3"/>
      <c r="CRF3"/>
      <c r="CRG3"/>
      <c r="CRH3"/>
      <c r="CRI3"/>
      <c r="CRJ3"/>
      <c r="CRK3"/>
      <c r="CRL3"/>
      <c r="CRM3"/>
      <c r="CRN3"/>
      <c r="CRO3"/>
      <c r="CRP3"/>
      <c r="CRQ3"/>
      <c r="CRR3"/>
      <c r="CRS3"/>
      <c r="CRT3"/>
      <c r="CRU3"/>
      <c r="CRV3"/>
      <c r="CRW3"/>
      <c r="CRX3"/>
      <c r="CRY3"/>
      <c r="CRZ3"/>
      <c r="CSA3"/>
      <c r="CSB3"/>
      <c r="CSC3"/>
      <c r="CSD3"/>
      <c r="CSE3"/>
      <c r="CSF3"/>
      <c r="CSG3"/>
      <c r="CSH3"/>
      <c r="CSI3"/>
      <c r="CSJ3"/>
      <c r="CSK3"/>
      <c r="CSL3"/>
      <c r="CSM3"/>
      <c r="CSN3"/>
      <c r="CSO3"/>
      <c r="CSP3"/>
      <c r="CSQ3"/>
      <c r="CSR3"/>
      <c r="CSS3"/>
      <c r="CST3"/>
      <c r="CSU3"/>
      <c r="CSV3"/>
      <c r="CSW3"/>
      <c r="CSX3"/>
      <c r="CSY3"/>
      <c r="CSZ3"/>
      <c r="CTA3"/>
      <c r="CTB3"/>
      <c r="CTC3"/>
      <c r="CTD3"/>
      <c r="CTE3"/>
      <c r="CTF3"/>
      <c r="CTG3"/>
      <c r="CTH3"/>
      <c r="CTI3"/>
      <c r="CTJ3"/>
      <c r="CTK3"/>
      <c r="CTL3"/>
      <c r="CTM3"/>
      <c r="CTN3"/>
      <c r="CTO3"/>
      <c r="CTP3"/>
      <c r="CTQ3"/>
      <c r="CTR3"/>
      <c r="CTS3"/>
      <c r="CTT3"/>
      <c r="CTU3"/>
      <c r="CTV3"/>
      <c r="CTW3"/>
      <c r="CTX3"/>
      <c r="CTY3"/>
      <c r="CTZ3"/>
      <c r="CUA3"/>
      <c r="CUB3"/>
      <c r="CUC3"/>
      <c r="CUD3"/>
      <c r="CUE3"/>
      <c r="CUF3"/>
      <c r="CUG3"/>
      <c r="CUH3"/>
      <c r="CUI3"/>
      <c r="CUJ3"/>
      <c r="CUK3"/>
      <c r="CUL3"/>
      <c r="CUM3"/>
      <c r="CUN3"/>
      <c r="CUO3"/>
      <c r="CUP3"/>
      <c r="CUQ3"/>
      <c r="CUR3"/>
      <c r="CUS3"/>
      <c r="CUT3"/>
      <c r="CUU3"/>
      <c r="CUV3"/>
      <c r="CUW3"/>
      <c r="CUX3"/>
      <c r="CUY3"/>
      <c r="CUZ3"/>
      <c r="CVA3"/>
      <c r="CVB3"/>
      <c r="CVC3"/>
      <c r="CVD3"/>
      <c r="CVE3"/>
      <c r="CVF3"/>
      <c r="CVG3"/>
      <c r="CVH3"/>
      <c r="CVI3"/>
      <c r="CVJ3"/>
      <c r="CVK3"/>
      <c r="CVL3"/>
      <c r="CVM3"/>
      <c r="CVN3"/>
      <c r="CVO3"/>
      <c r="CVP3"/>
      <c r="CVQ3"/>
      <c r="CVR3"/>
      <c r="CVS3"/>
      <c r="CVT3"/>
      <c r="CVU3"/>
      <c r="CVV3"/>
      <c r="CVW3"/>
      <c r="CVX3"/>
      <c r="CVY3"/>
      <c r="CVZ3"/>
      <c r="CWA3"/>
      <c r="CWB3"/>
      <c r="CWC3"/>
      <c r="CWD3"/>
      <c r="CWE3"/>
      <c r="CWF3"/>
      <c r="CWG3"/>
      <c r="CWH3"/>
      <c r="CWI3"/>
      <c r="CWJ3"/>
      <c r="CWK3"/>
      <c r="CWL3"/>
      <c r="CWM3"/>
      <c r="CWN3"/>
      <c r="CWO3"/>
      <c r="CWP3"/>
      <c r="CWQ3"/>
      <c r="CWR3"/>
      <c r="CWS3"/>
      <c r="CWT3"/>
      <c r="CWU3"/>
      <c r="CWV3"/>
      <c r="CWW3"/>
      <c r="CWX3"/>
      <c r="CWY3"/>
      <c r="CWZ3"/>
      <c r="CXA3"/>
      <c r="CXB3"/>
      <c r="CXC3"/>
      <c r="CXD3"/>
      <c r="CXE3"/>
      <c r="CXF3"/>
      <c r="CXG3"/>
      <c r="CXH3"/>
      <c r="CXI3"/>
      <c r="CXJ3"/>
      <c r="CXK3"/>
      <c r="CXL3"/>
      <c r="CXM3"/>
      <c r="CXN3"/>
      <c r="CXO3"/>
      <c r="CXP3"/>
      <c r="CXQ3"/>
      <c r="CXR3"/>
      <c r="CXS3"/>
      <c r="CXT3"/>
      <c r="CXU3"/>
      <c r="CXV3"/>
      <c r="CXW3"/>
      <c r="CXX3"/>
      <c r="CXY3"/>
      <c r="CXZ3"/>
      <c r="CYA3"/>
      <c r="CYB3"/>
      <c r="CYC3"/>
      <c r="CYD3"/>
      <c r="CYE3"/>
      <c r="CYF3"/>
      <c r="CYG3"/>
      <c r="CYH3"/>
      <c r="CYI3"/>
      <c r="CYJ3"/>
      <c r="CYK3"/>
      <c r="CYL3"/>
      <c r="CYM3"/>
      <c r="CYN3"/>
      <c r="CYO3"/>
      <c r="CYP3"/>
      <c r="CYQ3"/>
      <c r="CYR3"/>
      <c r="CYS3"/>
      <c r="CYT3"/>
      <c r="CYU3"/>
      <c r="CYV3"/>
      <c r="CYW3"/>
      <c r="CYX3"/>
      <c r="CYY3"/>
      <c r="CYZ3"/>
      <c r="CZA3"/>
      <c r="CZB3"/>
      <c r="CZC3"/>
      <c r="CZD3"/>
      <c r="CZE3"/>
      <c r="CZF3"/>
      <c r="CZG3"/>
      <c r="CZH3"/>
      <c r="CZI3"/>
      <c r="CZJ3"/>
      <c r="CZK3"/>
      <c r="CZL3"/>
      <c r="CZM3"/>
      <c r="CZN3"/>
      <c r="CZO3"/>
      <c r="CZP3"/>
      <c r="CZQ3"/>
      <c r="CZR3"/>
      <c r="CZS3"/>
      <c r="CZT3"/>
      <c r="CZU3"/>
      <c r="CZV3"/>
      <c r="CZW3"/>
      <c r="CZX3"/>
      <c r="CZY3"/>
      <c r="CZZ3"/>
      <c r="DAA3"/>
      <c r="DAB3"/>
      <c r="DAC3"/>
      <c r="DAD3"/>
      <c r="DAE3"/>
      <c r="DAF3"/>
      <c r="DAG3"/>
      <c r="DAH3"/>
      <c r="DAI3"/>
      <c r="DAJ3"/>
      <c r="DAK3"/>
      <c r="DAL3"/>
      <c r="DAM3"/>
      <c r="DAN3"/>
      <c r="DAO3"/>
      <c r="DAP3"/>
      <c r="DAQ3"/>
      <c r="DAR3"/>
      <c r="DAS3"/>
      <c r="DAT3"/>
      <c r="DAU3"/>
      <c r="DAV3"/>
      <c r="DAW3"/>
      <c r="DAX3"/>
      <c r="DAY3"/>
      <c r="DAZ3"/>
      <c r="DBA3"/>
      <c r="DBB3"/>
      <c r="DBC3"/>
      <c r="DBD3"/>
      <c r="DBE3"/>
      <c r="DBF3"/>
      <c r="DBG3"/>
      <c r="DBH3"/>
      <c r="DBI3"/>
      <c r="DBJ3"/>
      <c r="DBK3"/>
      <c r="DBL3"/>
      <c r="DBM3"/>
      <c r="DBN3"/>
      <c r="DBO3"/>
      <c r="DBP3"/>
      <c r="DBQ3"/>
      <c r="DBR3"/>
      <c r="DBS3"/>
      <c r="DBT3"/>
      <c r="DBU3"/>
      <c r="DBV3"/>
      <c r="DBW3"/>
      <c r="DBX3"/>
      <c r="DBY3"/>
      <c r="DBZ3"/>
      <c r="DCA3"/>
      <c r="DCB3"/>
      <c r="DCC3"/>
      <c r="DCD3"/>
      <c r="DCE3"/>
      <c r="DCF3"/>
      <c r="DCG3"/>
      <c r="DCH3"/>
      <c r="DCI3"/>
      <c r="DCJ3"/>
      <c r="DCK3"/>
      <c r="DCL3"/>
      <c r="DCM3"/>
      <c r="DCN3"/>
      <c r="DCO3"/>
      <c r="DCP3"/>
      <c r="DCQ3"/>
      <c r="DCR3"/>
      <c r="DCS3"/>
      <c r="DCT3"/>
      <c r="DCU3"/>
      <c r="DCV3"/>
      <c r="DCW3"/>
      <c r="DCX3"/>
      <c r="DCY3"/>
      <c r="DCZ3"/>
      <c r="DDA3"/>
      <c r="DDB3"/>
      <c r="DDC3"/>
      <c r="DDD3"/>
      <c r="DDE3"/>
      <c r="DDF3"/>
      <c r="DDG3"/>
      <c r="DDH3"/>
      <c r="DDI3"/>
      <c r="DDJ3"/>
      <c r="DDK3"/>
      <c r="DDL3"/>
      <c r="DDM3"/>
      <c r="DDN3"/>
      <c r="DDO3"/>
      <c r="DDP3"/>
      <c r="DDQ3"/>
      <c r="DDR3"/>
      <c r="DDS3"/>
      <c r="DDT3"/>
      <c r="DDU3"/>
      <c r="DDV3"/>
      <c r="DDW3"/>
      <c r="DDX3"/>
      <c r="DDY3"/>
      <c r="DDZ3"/>
      <c r="DEA3"/>
      <c r="DEB3"/>
      <c r="DEC3"/>
      <c r="DED3"/>
      <c r="DEE3"/>
      <c r="DEF3"/>
      <c r="DEG3"/>
      <c r="DEH3"/>
      <c r="DEI3"/>
      <c r="DEJ3"/>
      <c r="DEK3"/>
      <c r="DEL3"/>
      <c r="DEM3"/>
      <c r="DEN3"/>
      <c r="DEO3"/>
      <c r="DEP3"/>
      <c r="DEQ3"/>
      <c r="DER3"/>
      <c r="DES3"/>
      <c r="DET3"/>
      <c r="DEU3"/>
      <c r="DEV3"/>
      <c r="DEW3"/>
      <c r="DEX3"/>
      <c r="DEY3"/>
      <c r="DEZ3"/>
      <c r="DFA3"/>
      <c r="DFB3"/>
      <c r="DFC3"/>
      <c r="DFD3"/>
      <c r="DFE3"/>
      <c r="DFF3"/>
      <c r="DFG3"/>
      <c r="DFH3"/>
      <c r="DFI3"/>
      <c r="DFJ3"/>
      <c r="DFK3"/>
      <c r="DFL3"/>
      <c r="DFM3"/>
      <c r="DFN3"/>
      <c r="DFO3"/>
      <c r="DFP3"/>
      <c r="DFQ3"/>
      <c r="DFR3"/>
      <c r="DFS3"/>
      <c r="DFT3"/>
      <c r="DFU3"/>
      <c r="DFV3"/>
      <c r="DFW3"/>
      <c r="DFX3"/>
      <c r="DFY3"/>
      <c r="DFZ3"/>
      <c r="DGA3"/>
      <c r="DGB3"/>
      <c r="DGC3"/>
      <c r="DGD3"/>
      <c r="DGE3"/>
      <c r="DGF3"/>
      <c r="DGG3"/>
      <c r="DGH3"/>
      <c r="DGI3"/>
      <c r="DGJ3"/>
      <c r="DGK3"/>
      <c r="DGL3"/>
      <c r="DGM3"/>
      <c r="DGN3"/>
      <c r="DGO3"/>
      <c r="DGP3"/>
      <c r="DGQ3"/>
      <c r="DGR3"/>
      <c r="DGS3"/>
      <c r="DGT3"/>
      <c r="DGU3"/>
      <c r="DGV3"/>
      <c r="DGW3"/>
      <c r="DGX3"/>
      <c r="DGY3"/>
      <c r="DGZ3"/>
      <c r="DHA3"/>
      <c r="DHB3"/>
      <c r="DHC3"/>
      <c r="DHD3"/>
      <c r="DHE3"/>
      <c r="DHF3"/>
      <c r="DHG3"/>
      <c r="DHH3"/>
      <c r="DHI3"/>
      <c r="DHJ3"/>
      <c r="DHK3"/>
      <c r="DHL3"/>
      <c r="DHM3"/>
      <c r="DHN3"/>
      <c r="DHO3"/>
      <c r="DHP3"/>
      <c r="DHQ3"/>
      <c r="DHR3"/>
      <c r="DHS3"/>
      <c r="DHT3"/>
      <c r="DHU3"/>
      <c r="DHV3"/>
      <c r="DHW3"/>
      <c r="DHX3"/>
      <c r="DHY3"/>
      <c r="DHZ3"/>
      <c r="DIA3"/>
      <c r="DIB3"/>
      <c r="DIC3"/>
      <c r="DID3"/>
      <c r="DIE3"/>
      <c r="DIF3"/>
      <c r="DIG3"/>
      <c r="DIH3"/>
      <c r="DII3"/>
      <c r="DIJ3"/>
      <c r="DIK3"/>
      <c r="DIL3"/>
      <c r="DIM3"/>
      <c r="DIN3"/>
      <c r="DIO3"/>
      <c r="DIP3"/>
      <c r="DIQ3"/>
      <c r="DIR3"/>
      <c r="DIS3"/>
      <c r="DIT3"/>
      <c r="DIU3"/>
      <c r="DIV3"/>
      <c r="DIW3"/>
      <c r="DIX3"/>
      <c r="DIY3"/>
      <c r="DIZ3"/>
      <c r="DJA3"/>
      <c r="DJB3"/>
      <c r="DJC3"/>
      <c r="DJD3"/>
      <c r="DJE3"/>
      <c r="DJF3"/>
      <c r="DJG3"/>
      <c r="DJH3"/>
      <c r="DJI3"/>
      <c r="DJJ3"/>
      <c r="DJK3"/>
      <c r="DJL3"/>
      <c r="DJM3"/>
      <c r="DJN3"/>
      <c r="DJO3"/>
      <c r="DJP3"/>
      <c r="DJQ3"/>
      <c r="DJR3"/>
      <c r="DJS3"/>
      <c r="DJT3"/>
      <c r="DJU3"/>
      <c r="DJV3"/>
      <c r="DJW3"/>
      <c r="DJX3"/>
      <c r="DJY3"/>
      <c r="DJZ3"/>
      <c r="DKA3"/>
      <c r="DKB3"/>
      <c r="DKC3"/>
      <c r="DKD3"/>
      <c r="DKE3"/>
      <c r="DKF3"/>
      <c r="DKG3"/>
      <c r="DKH3"/>
      <c r="DKI3"/>
      <c r="DKJ3"/>
      <c r="DKK3"/>
      <c r="DKL3"/>
      <c r="DKM3"/>
      <c r="DKN3"/>
      <c r="DKO3"/>
      <c r="DKP3"/>
      <c r="DKQ3"/>
      <c r="DKR3"/>
      <c r="DKS3"/>
      <c r="DKT3"/>
      <c r="DKU3"/>
      <c r="DKV3"/>
      <c r="DKW3"/>
      <c r="DKX3"/>
      <c r="DKY3"/>
      <c r="DKZ3"/>
      <c r="DLA3"/>
      <c r="DLB3"/>
      <c r="DLC3"/>
      <c r="DLD3"/>
      <c r="DLE3"/>
      <c r="DLF3"/>
      <c r="DLG3"/>
      <c r="DLH3"/>
      <c r="DLI3"/>
      <c r="DLJ3"/>
      <c r="DLK3"/>
      <c r="DLL3"/>
      <c r="DLM3"/>
      <c r="DLN3"/>
      <c r="DLO3"/>
      <c r="DLP3"/>
      <c r="DLQ3"/>
      <c r="DLR3"/>
      <c r="DLS3"/>
      <c r="DLT3"/>
      <c r="DLU3"/>
      <c r="DLV3"/>
      <c r="DLW3"/>
      <c r="DLX3"/>
      <c r="DLY3"/>
      <c r="DLZ3"/>
      <c r="DMA3"/>
      <c r="DMB3"/>
      <c r="DMC3"/>
      <c r="DMD3"/>
      <c r="DME3"/>
      <c r="DMF3"/>
      <c r="DMG3"/>
      <c r="DMH3"/>
      <c r="DMI3"/>
      <c r="DMJ3"/>
      <c r="DMK3"/>
      <c r="DML3"/>
      <c r="DMM3"/>
      <c r="DMN3"/>
      <c r="DMO3"/>
      <c r="DMP3"/>
      <c r="DMQ3"/>
      <c r="DMR3"/>
      <c r="DMS3"/>
      <c r="DMT3"/>
      <c r="DMU3"/>
      <c r="DMV3"/>
      <c r="DMW3"/>
      <c r="DMX3"/>
      <c r="DMY3"/>
      <c r="DMZ3"/>
      <c r="DNA3"/>
      <c r="DNB3"/>
      <c r="DNC3"/>
      <c r="DND3"/>
      <c r="DNE3"/>
      <c r="DNF3"/>
      <c r="DNG3"/>
      <c r="DNH3"/>
      <c r="DNI3"/>
      <c r="DNJ3"/>
      <c r="DNK3"/>
      <c r="DNL3"/>
      <c r="DNM3"/>
      <c r="DNN3"/>
      <c r="DNO3"/>
      <c r="DNP3"/>
      <c r="DNQ3"/>
      <c r="DNR3"/>
      <c r="DNS3"/>
      <c r="DNT3"/>
      <c r="DNU3"/>
      <c r="DNV3"/>
      <c r="DNW3"/>
      <c r="DNX3"/>
      <c r="DNY3"/>
      <c r="DNZ3"/>
      <c r="DOA3"/>
      <c r="DOB3"/>
      <c r="DOC3"/>
      <c r="DOD3"/>
      <c r="DOE3"/>
      <c r="DOF3"/>
      <c r="DOG3"/>
      <c r="DOH3"/>
      <c r="DOI3"/>
      <c r="DOJ3"/>
      <c r="DOK3"/>
      <c r="DOL3"/>
      <c r="DOM3"/>
      <c r="DON3"/>
      <c r="DOO3"/>
      <c r="DOP3"/>
      <c r="DOQ3"/>
      <c r="DOR3"/>
      <c r="DOS3"/>
      <c r="DOT3"/>
      <c r="DOU3"/>
      <c r="DOV3"/>
      <c r="DOW3"/>
      <c r="DOX3"/>
      <c r="DOY3"/>
      <c r="DOZ3"/>
      <c r="DPA3"/>
      <c r="DPB3"/>
      <c r="DPC3"/>
      <c r="DPD3"/>
      <c r="DPE3"/>
      <c r="DPF3"/>
      <c r="DPG3"/>
      <c r="DPH3"/>
      <c r="DPI3"/>
      <c r="DPJ3"/>
      <c r="DPK3"/>
      <c r="DPL3"/>
      <c r="DPM3"/>
      <c r="DPN3"/>
      <c r="DPO3"/>
      <c r="DPP3"/>
      <c r="DPQ3"/>
      <c r="DPR3"/>
      <c r="DPS3"/>
      <c r="DPT3"/>
      <c r="DPU3"/>
      <c r="DPV3"/>
      <c r="DPW3"/>
      <c r="DPX3"/>
      <c r="DPY3"/>
      <c r="DPZ3"/>
      <c r="DQA3"/>
      <c r="DQB3"/>
      <c r="DQC3"/>
      <c r="DQD3"/>
      <c r="DQE3"/>
      <c r="DQF3"/>
      <c r="DQG3"/>
      <c r="DQH3"/>
      <c r="DQI3"/>
      <c r="DQJ3"/>
      <c r="DQK3"/>
      <c r="DQL3"/>
      <c r="DQM3"/>
      <c r="DQN3"/>
      <c r="DQO3"/>
      <c r="DQP3"/>
      <c r="DQQ3"/>
      <c r="DQR3"/>
      <c r="DQS3"/>
      <c r="DQT3"/>
      <c r="DQU3"/>
      <c r="DQV3"/>
      <c r="DQW3"/>
      <c r="DQX3"/>
      <c r="DQY3"/>
      <c r="DQZ3"/>
      <c r="DRA3"/>
      <c r="DRB3"/>
      <c r="DRC3"/>
      <c r="DRD3"/>
      <c r="DRE3"/>
      <c r="DRF3"/>
      <c r="DRG3"/>
      <c r="DRH3"/>
      <c r="DRI3"/>
      <c r="DRJ3"/>
      <c r="DRK3"/>
      <c r="DRL3"/>
      <c r="DRM3"/>
      <c r="DRN3"/>
      <c r="DRO3"/>
      <c r="DRP3"/>
      <c r="DRQ3"/>
      <c r="DRR3"/>
      <c r="DRS3"/>
      <c r="DRT3"/>
      <c r="DRU3"/>
      <c r="DRV3"/>
      <c r="DRW3"/>
      <c r="DRX3"/>
      <c r="DRY3"/>
      <c r="DRZ3"/>
      <c r="DSA3"/>
      <c r="DSB3"/>
      <c r="DSC3"/>
      <c r="DSD3"/>
      <c r="DSE3"/>
      <c r="DSF3"/>
      <c r="DSG3"/>
      <c r="DSH3"/>
      <c r="DSI3"/>
      <c r="DSJ3"/>
      <c r="DSK3"/>
      <c r="DSL3"/>
      <c r="DSM3"/>
      <c r="DSN3"/>
      <c r="DSO3"/>
      <c r="DSP3"/>
      <c r="DSQ3"/>
      <c r="DSR3"/>
      <c r="DSS3"/>
      <c r="DST3"/>
      <c r="DSU3"/>
      <c r="DSV3"/>
      <c r="DSW3"/>
      <c r="DSX3"/>
      <c r="DSY3"/>
      <c r="DSZ3"/>
      <c r="DTA3"/>
      <c r="DTB3"/>
      <c r="DTC3"/>
      <c r="DTD3"/>
      <c r="DTE3"/>
      <c r="DTF3"/>
      <c r="DTG3"/>
      <c r="DTH3"/>
      <c r="DTI3"/>
      <c r="DTJ3"/>
      <c r="DTK3"/>
      <c r="DTL3"/>
      <c r="DTM3"/>
      <c r="DTN3"/>
      <c r="DTO3"/>
      <c r="DTP3"/>
      <c r="DTQ3"/>
      <c r="DTR3"/>
      <c r="DTS3"/>
      <c r="DTT3"/>
      <c r="DTU3"/>
      <c r="DTV3"/>
      <c r="DTW3"/>
      <c r="DTX3"/>
      <c r="DTY3"/>
      <c r="DTZ3"/>
      <c r="DUA3"/>
      <c r="DUB3"/>
      <c r="DUC3"/>
      <c r="DUD3"/>
      <c r="DUE3"/>
      <c r="DUF3"/>
      <c r="DUG3"/>
      <c r="DUH3"/>
      <c r="DUI3"/>
      <c r="DUJ3"/>
      <c r="DUK3"/>
      <c r="DUL3"/>
      <c r="DUM3"/>
      <c r="DUN3"/>
      <c r="DUO3"/>
      <c r="DUP3"/>
      <c r="DUQ3"/>
      <c r="DUR3"/>
      <c r="DUS3"/>
      <c r="DUT3"/>
      <c r="DUU3"/>
      <c r="DUV3"/>
      <c r="DUW3"/>
      <c r="DUX3"/>
      <c r="DUY3"/>
      <c r="DUZ3"/>
      <c r="DVA3"/>
      <c r="DVB3"/>
      <c r="DVC3"/>
      <c r="DVD3"/>
      <c r="DVE3"/>
      <c r="DVF3"/>
      <c r="DVG3"/>
      <c r="DVH3"/>
      <c r="DVI3"/>
      <c r="DVJ3"/>
      <c r="DVK3"/>
      <c r="DVL3"/>
      <c r="DVM3"/>
      <c r="DVN3"/>
      <c r="DVO3"/>
      <c r="DVP3"/>
      <c r="DVQ3"/>
      <c r="DVR3"/>
      <c r="DVS3"/>
      <c r="DVT3"/>
      <c r="DVU3"/>
      <c r="DVV3"/>
      <c r="DVW3"/>
      <c r="DVX3"/>
      <c r="DVY3"/>
      <c r="DVZ3"/>
      <c r="DWA3"/>
      <c r="DWB3"/>
      <c r="DWC3"/>
      <c r="DWD3"/>
      <c r="DWE3"/>
      <c r="DWF3"/>
      <c r="DWG3"/>
      <c r="DWH3"/>
      <c r="DWI3"/>
      <c r="DWJ3"/>
      <c r="DWK3"/>
      <c r="DWL3"/>
      <c r="DWM3"/>
      <c r="DWN3"/>
      <c r="DWO3"/>
      <c r="DWP3"/>
      <c r="DWQ3"/>
      <c r="DWR3"/>
      <c r="DWS3"/>
      <c r="DWT3"/>
      <c r="DWU3"/>
      <c r="DWV3"/>
      <c r="DWW3"/>
      <c r="DWX3"/>
      <c r="DWY3"/>
      <c r="DWZ3"/>
      <c r="DXA3"/>
      <c r="DXB3"/>
      <c r="DXC3"/>
      <c r="DXD3"/>
      <c r="DXE3"/>
      <c r="DXF3"/>
      <c r="DXG3"/>
      <c r="DXH3"/>
      <c r="DXI3"/>
      <c r="DXJ3"/>
      <c r="DXK3"/>
      <c r="DXL3"/>
      <c r="DXM3"/>
      <c r="DXN3"/>
      <c r="DXO3"/>
      <c r="DXP3"/>
      <c r="DXQ3"/>
      <c r="DXR3"/>
      <c r="DXS3"/>
      <c r="DXT3"/>
      <c r="DXU3"/>
      <c r="DXV3"/>
      <c r="DXW3"/>
      <c r="DXX3"/>
      <c r="DXY3"/>
      <c r="DXZ3"/>
      <c r="DYA3"/>
      <c r="DYB3"/>
      <c r="DYC3"/>
      <c r="DYD3"/>
      <c r="DYE3"/>
      <c r="DYF3"/>
      <c r="DYG3"/>
      <c r="DYH3"/>
      <c r="DYI3"/>
      <c r="DYJ3"/>
      <c r="DYK3"/>
      <c r="DYL3"/>
      <c r="DYM3"/>
      <c r="DYN3"/>
      <c r="DYO3"/>
      <c r="DYP3"/>
      <c r="DYQ3"/>
      <c r="DYR3"/>
      <c r="DYS3"/>
      <c r="DYT3"/>
      <c r="DYU3"/>
      <c r="DYV3"/>
      <c r="DYW3"/>
      <c r="DYX3"/>
      <c r="DYY3"/>
      <c r="DYZ3"/>
      <c r="DZA3"/>
      <c r="DZB3"/>
      <c r="DZC3"/>
      <c r="DZD3"/>
      <c r="DZE3"/>
      <c r="DZF3"/>
      <c r="DZG3"/>
      <c r="DZH3"/>
      <c r="DZI3"/>
      <c r="DZJ3"/>
      <c r="DZK3"/>
      <c r="DZL3"/>
      <c r="DZM3"/>
      <c r="DZN3"/>
      <c r="DZO3"/>
      <c r="DZP3"/>
      <c r="DZQ3"/>
      <c r="DZR3"/>
      <c r="DZS3"/>
      <c r="DZT3"/>
      <c r="DZU3"/>
      <c r="DZV3"/>
      <c r="DZW3"/>
      <c r="DZX3"/>
      <c r="DZY3"/>
      <c r="DZZ3"/>
      <c r="EAA3"/>
      <c r="EAB3"/>
      <c r="EAC3"/>
      <c r="EAD3"/>
      <c r="EAE3"/>
      <c r="EAF3"/>
      <c r="EAG3"/>
      <c r="EAH3"/>
      <c r="EAI3"/>
      <c r="EAJ3"/>
      <c r="EAK3"/>
      <c r="EAL3"/>
      <c r="EAM3"/>
      <c r="EAN3"/>
      <c r="EAO3"/>
      <c r="EAP3"/>
      <c r="EAQ3"/>
      <c r="EAR3"/>
      <c r="EAS3"/>
      <c r="EAT3"/>
      <c r="EAU3"/>
      <c r="EAV3"/>
      <c r="EAW3"/>
      <c r="EAX3"/>
      <c r="EAY3"/>
      <c r="EAZ3"/>
      <c r="EBA3"/>
      <c r="EBB3"/>
      <c r="EBC3"/>
      <c r="EBD3"/>
      <c r="EBE3"/>
      <c r="EBF3"/>
      <c r="EBG3"/>
      <c r="EBH3"/>
      <c r="EBI3"/>
      <c r="EBJ3"/>
      <c r="EBK3"/>
      <c r="EBL3"/>
      <c r="EBM3"/>
      <c r="EBN3"/>
      <c r="EBO3"/>
      <c r="EBP3"/>
      <c r="EBQ3"/>
      <c r="EBR3"/>
      <c r="EBS3"/>
      <c r="EBT3"/>
      <c r="EBU3"/>
      <c r="EBV3"/>
      <c r="EBW3"/>
      <c r="EBX3"/>
      <c r="EBY3"/>
      <c r="EBZ3"/>
      <c r="ECA3"/>
      <c r="ECB3"/>
      <c r="ECC3"/>
      <c r="ECD3"/>
      <c r="ECE3"/>
      <c r="ECF3"/>
      <c r="ECG3"/>
      <c r="ECH3"/>
      <c r="ECI3"/>
      <c r="ECJ3"/>
      <c r="ECK3"/>
      <c r="ECL3"/>
      <c r="ECM3"/>
      <c r="ECN3"/>
      <c r="ECO3"/>
      <c r="ECP3"/>
      <c r="ECQ3"/>
      <c r="ECR3"/>
      <c r="ECS3"/>
      <c r="ECT3"/>
      <c r="ECU3"/>
      <c r="ECV3"/>
      <c r="ECW3"/>
      <c r="ECX3"/>
      <c r="ECY3"/>
      <c r="ECZ3"/>
      <c r="EDA3"/>
      <c r="EDB3"/>
      <c r="EDC3"/>
      <c r="EDD3"/>
      <c r="EDE3"/>
      <c r="EDF3"/>
      <c r="EDG3"/>
      <c r="EDH3"/>
      <c r="EDI3"/>
      <c r="EDJ3"/>
      <c r="EDK3"/>
      <c r="EDL3"/>
      <c r="EDM3"/>
      <c r="EDN3"/>
      <c r="EDO3"/>
      <c r="EDP3"/>
      <c r="EDQ3"/>
      <c r="EDR3"/>
      <c r="EDS3"/>
      <c r="EDT3"/>
      <c r="EDU3"/>
      <c r="EDV3"/>
      <c r="EDW3"/>
      <c r="EDX3"/>
      <c r="EDY3"/>
      <c r="EDZ3"/>
      <c r="EEA3"/>
      <c r="EEB3"/>
      <c r="EEC3"/>
      <c r="EED3"/>
      <c r="EEE3"/>
      <c r="EEF3"/>
      <c r="EEG3"/>
      <c r="EEH3"/>
      <c r="EEI3"/>
      <c r="EEJ3"/>
      <c r="EEK3"/>
      <c r="EEL3"/>
      <c r="EEM3"/>
      <c r="EEN3"/>
      <c r="EEO3"/>
      <c r="EEP3"/>
      <c r="EEQ3"/>
      <c r="EER3"/>
      <c r="EES3"/>
      <c r="EET3"/>
      <c r="EEU3"/>
      <c r="EEV3"/>
      <c r="EEW3"/>
      <c r="EEX3"/>
      <c r="EEY3"/>
      <c r="EEZ3"/>
      <c r="EFA3"/>
      <c r="EFB3"/>
      <c r="EFC3"/>
      <c r="EFD3"/>
      <c r="EFE3"/>
      <c r="EFF3"/>
      <c r="EFG3"/>
      <c r="EFH3"/>
      <c r="EFI3"/>
      <c r="EFJ3"/>
      <c r="EFK3"/>
      <c r="EFL3"/>
      <c r="EFM3"/>
      <c r="EFN3"/>
      <c r="EFO3"/>
      <c r="EFP3"/>
      <c r="EFQ3"/>
      <c r="EFR3"/>
      <c r="EFS3"/>
      <c r="EFT3"/>
      <c r="EFU3"/>
      <c r="EFV3"/>
      <c r="EFW3"/>
      <c r="EFX3"/>
      <c r="EFY3"/>
      <c r="EFZ3"/>
      <c r="EGA3"/>
      <c r="EGB3"/>
      <c r="EGC3"/>
      <c r="EGD3"/>
      <c r="EGE3"/>
      <c r="EGF3"/>
      <c r="EGG3"/>
      <c r="EGH3"/>
      <c r="EGI3"/>
      <c r="EGJ3"/>
      <c r="EGK3"/>
      <c r="EGL3"/>
      <c r="EGM3"/>
      <c r="EGN3"/>
      <c r="EGO3"/>
      <c r="EGP3"/>
      <c r="EGQ3"/>
      <c r="EGR3"/>
      <c r="EGS3"/>
      <c r="EGT3"/>
      <c r="EGU3"/>
      <c r="EGV3"/>
      <c r="EGW3"/>
      <c r="EGX3"/>
      <c r="EGY3"/>
      <c r="EGZ3"/>
      <c r="EHA3"/>
      <c r="EHB3"/>
      <c r="EHC3"/>
      <c r="EHD3"/>
      <c r="EHE3"/>
      <c r="EHF3"/>
      <c r="EHG3"/>
      <c r="EHH3"/>
      <c r="EHI3"/>
      <c r="EHJ3"/>
      <c r="EHK3"/>
      <c r="EHL3"/>
      <c r="EHM3"/>
      <c r="EHN3"/>
      <c r="EHO3"/>
      <c r="EHP3"/>
      <c r="EHQ3"/>
      <c r="EHR3"/>
      <c r="EHS3"/>
      <c r="EHT3"/>
      <c r="EHU3"/>
      <c r="EHV3"/>
      <c r="EHW3"/>
      <c r="EHX3"/>
      <c r="EHY3"/>
      <c r="EHZ3"/>
      <c r="EIA3"/>
      <c r="EIB3"/>
      <c r="EIC3"/>
      <c r="EID3"/>
      <c r="EIE3"/>
      <c r="EIF3"/>
      <c r="EIG3"/>
      <c r="EIH3"/>
      <c r="EII3"/>
      <c r="EIJ3"/>
      <c r="EIK3"/>
      <c r="EIL3"/>
      <c r="EIM3"/>
      <c r="EIN3"/>
      <c r="EIO3"/>
      <c r="EIP3"/>
      <c r="EIQ3"/>
      <c r="EIR3"/>
      <c r="EIS3"/>
      <c r="EIT3"/>
      <c r="EIU3"/>
      <c r="EIV3"/>
      <c r="EIW3"/>
      <c r="EIX3"/>
      <c r="EIY3"/>
      <c r="EIZ3"/>
      <c r="EJA3"/>
      <c r="EJB3"/>
      <c r="EJC3"/>
      <c r="EJD3"/>
      <c r="EJE3"/>
      <c r="EJF3"/>
      <c r="EJG3"/>
      <c r="EJH3"/>
      <c r="EJI3"/>
      <c r="EJJ3"/>
      <c r="EJK3"/>
      <c r="EJL3"/>
      <c r="EJM3"/>
      <c r="EJN3"/>
      <c r="EJO3"/>
      <c r="EJP3"/>
      <c r="EJQ3"/>
      <c r="EJR3"/>
      <c r="EJS3"/>
      <c r="EJT3"/>
      <c r="EJU3"/>
      <c r="EJV3"/>
      <c r="EJW3"/>
      <c r="EJX3"/>
      <c r="EJY3"/>
      <c r="EJZ3"/>
      <c r="EKA3"/>
      <c r="EKB3"/>
      <c r="EKC3"/>
      <c r="EKD3"/>
      <c r="EKE3"/>
      <c r="EKF3"/>
      <c r="EKG3"/>
      <c r="EKH3"/>
      <c r="EKI3"/>
      <c r="EKJ3"/>
      <c r="EKK3"/>
      <c r="EKL3"/>
      <c r="EKM3"/>
      <c r="EKN3"/>
      <c r="EKO3"/>
      <c r="EKP3"/>
      <c r="EKQ3"/>
      <c r="EKR3"/>
      <c r="EKS3"/>
      <c r="EKT3"/>
      <c r="EKU3"/>
      <c r="EKV3"/>
      <c r="EKW3"/>
      <c r="EKX3"/>
      <c r="EKY3"/>
      <c r="EKZ3"/>
      <c r="ELA3"/>
      <c r="ELB3"/>
      <c r="ELC3"/>
      <c r="ELD3"/>
      <c r="ELE3"/>
      <c r="ELF3"/>
      <c r="ELG3"/>
      <c r="ELH3"/>
      <c r="ELI3"/>
      <c r="ELJ3"/>
      <c r="ELK3"/>
      <c r="ELL3"/>
      <c r="ELM3"/>
      <c r="ELN3"/>
      <c r="ELO3"/>
      <c r="ELP3"/>
      <c r="ELQ3"/>
      <c r="ELR3"/>
      <c r="ELS3"/>
      <c r="ELT3"/>
      <c r="ELU3"/>
      <c r="ELV3"/>
      <c r="ELW3"/>
      <c r="ELX3"/>
      <c r="ELY3"/>
      <c r="ELZ3"/>
      <c r="EMA3"/>
      <c r="EMB3"/>
      <c r="EMC3"/>
      <c r="EMD3"/>
      <c r="EME3"/>
      <c r="EMF3"/>
      <c r="EMG3"/>
      <c r="EMH3"/>
      <c r="EMI3"/>
      <c r="EMJ3"/>
      <c r="EMK3"/>
      <c r="EML3"/>
      <c r="EMM3"/>
      <c r="EMN3"/>
      <c r="EMO3"/>
      <c r="EMP3"/>
      <c r="EMQ3"/>
      <c r="EMR3"/>
      <c r="EMS3"/>
      <c r="EMT3"/>
      <c r="EMU3"/>
      <c r="EMV3"/>
      <c r="EMW3"/>
      <c r="EMX3"/>
      <c r="EMY3"/>
      <c r="EMZ3"/>
      <c r="ENA3"/>
      <c r="ENB3"/>
      <c r="ENC3"/>
      <c r="END3"/>
      <c r="ENE3"/>
      <c r="ENF3"/>
      <c r="ENG3"/>
      <c r="ENH3"/>
      <c r="ENI3"/>
      <c r="ENJ3"/>
      <c r="ENK3"/>
      <c r="ENL3"/>
      <c r="ENM3"/>
      <c r="ENN3"/>
      <c r="ENO3"/>
      <c r="ENP3"/>
      <c r="ENQ3"/>
      <c r="ENR3"/>
      <c r="ENS3"/>
      <c r="ENT3"/>
      <c r="ENU3"/>
      <c r="ENV3"/>
      <c r="ENW3"/>
      <c r="ENX3"/>
      <c r="ENY3"/>
      <c r="ENZ3"/>
      <c r="EOA3"/>
      <c r="EOB3"/>
      <c r="EOC3"/>
      <c r="EOD3"/>
      <c r="EOE3"/>
      <c r="EOF3"/>
      <c r="EOG3"/>
      <c r="EOH3"/>
      <c r="EOI3"/>
      <c r="EOJ3"/>
      <c r="EOK3"/>
      <c r="EOL3"/>
      <c r="EOM3"/>
      <c r="EON3"/>
      <c r="EOO3"/>
      <c r="EOP3"/>
      <c r="EOQ3"/>
      <c r="EOR3"/>
      <c r="EOS3"/>
      <c r="EOT3"/>
      <c r="EOU3"/>
      <c r="EOV3"/>
      <c r="EOW3"/>
      <c r="EOX3"/>
      <c r="EOY3"/>
      <c r="EOZ3"/>
      <c r="EPA3"/>
      <c r="EPB3"/>
      <c r="EPC3"/>
      <c r="EPD3"/>
      <c r="EPE3"/>
      <c r="EPF3"/>
      <c r="EPG3"/>
      <c r="EPH3"/>
      <c r="EPI3"/>
      <c r="EPJ3"/>
      <c r="EPK3"/>
      <c r="EPL3"/>
      <c r="EPM3"/>
      <c r="EPN3"/>
      <c r="EPO3"/>
      <c r="EPP3"/>
      <c r="EPQ3"/>
      <c r="EPR3"/>
      <c r="EPS3"/>
      <c r="EPT3"/>
      <c r="EPU3"/>
      <c r="EPV3"/>
      <c r="EPW3"/>
      <c r="EPX3"/>
      <c r="EPY3"/>
      <c r="EPZ3"/>
      <c r="EQA3"/>
      <c r="EQB3"/>
      <c r="EQC3"/>
      <c r="EQD3"/>
      <c r="EQE3"/>
      <c r="EQF3"/>
      <c r="EQG3"/>
      <c r="EQH3"/>
      <c r="EQI3"/>
      <c r="EQJ3"/>
      <c r="EQK3"/>
      <c r="EQL3"/>
      <c r="EQM3"/>
      <c r="EQN3"/>
      <c r="EQO3"/>
      <c r="EQP3"/>
      <c r="EQQ3"/>
      <c r="EQR3"/>
      <c r="EQS3"/>
      <c r="EQT3"/>
      <c r="EQU3"/>
      <c r="EQV3"/>
      <c r="EQW3"/>
      <c r="EQX3"/>
      <c r="EQY3"/>
      <c r="EQZ3"/>
      <c r="ERA3"/>
      <c r="ERB3"/>
      <c r="ERC3"/>
      <c r="ERD3"/>
      <c r="ERE3"/>
      <c r="ERF3"/>
      <c r="ERG3"/>
      <c r="ERH3"/>
      <c r="ERI3"/>
      <c r="ERJ3"/>
      <c r="ERK3"/>
      <c r="ERL3"/>
      <c r="ERM3"/>
      <c r="ERN3"/>
      <c r="ERO3"/>
      <c r="ERP3"/>
      <c r="ERQ3"/>
      <c r="ERR3"/>
      <c r="ERS3"/>
      <c r="ERT3"/>
      <c r="ERU3"/>
      <c r="ERV3"/>
      <c r="ERW3"/>
      <c r="ERX3"/>
      <c r="ERY3"/>
      <c r="ERZ3"/>
      <c r="ESA3"/>
      <c r="ESB3"/>
      <c r="ESC3"/>
      <c r="ESD3"/>
      <c r="ESE3"/>
      <c r="ESF3"/>
      <c r="ESG3"/>
      <c r="ESH3"/>
      <c r="ESI3"/>
      <c r="ESJ3"/>
      <c r="ESK3"/>
      <c r="ESL3"/>
      <c r="ESM3"/>
      <c r="ESN3"/>
      <c r="ESO3"/>
      <c r="ESP3"/>
      <c r="ESQ3"/>
      <c r="ESR3"/>
      <c r="ESS3"/>
      <c r="EST3"/>
      <c r="ESU3"/>
      <c r="ESV3"/>
      <c r="ESW3"/>
      <c r="ESX3"/>
      <c r="ESY3"/>
      <c r="ESZ3"/>
      <c r="ETA3"/>
      <c r="ETB3"/>
      <c r="ETC3"/>
      <c r="ETD3"/>
      <c r="ETE3"/>
      <c r="ETF3"/>
      <c r="ETG3"/>
      <c r="ETH3"/>
      <c r="ETI3"/>
      <c r="ETJ3"/>
      <c r="ETK3"/>
      <c r="ETL3"/>
      <c r="ETM3"/>
      <c r="ETN3"/>
      <c r="ETO3"/>
      <c r="ETP3"/>
      <c r="ETQ3"/>
      <c r="ETR3"/>
      <c r="ETS3"/>
      <c r="ETT3"/>
      <c r="ETU3"/>
      <c r="ETV3"/>
      <c r="ETW3"/>
      <c r="ETX3"/>
      <c r="ETY3"/>
      <c r="ETZ3"/>
      <c r="EUA3"/>
      <c r="EUB3"/>
      <c r="EUC3"/>
      <c r="EUD3"/>
      <c r="EUE3"/>
      <c r="EUF3"/>
      <c r="EUG3"/>
      <c r="EUH3"/>
      <c r="EUI3"/>
      <c r="EUJ3"/>
      <c r="EUK3"/>
      <c r="EUL3"/>
      <c r="EUM3"/>
      <c r="EUN3"/>
      <c r="EUO3"/>
      <c r="EUP3"/>
      <c r="EUQ3"/>
      <c r="EUR3"/>
      <c r="EUS3"/>
      <c r="EUT3"/>
      <c r="EUU3"/>
      <c r="EUV3"/>
      <c r="EUW3"/>
      <c r="EUX3"/>
      <c r="EUY3"/>
      <c r="EUZ3"/>
      <c r="EVA3"/>
      <c r="EVB3"/>
      <c r="EVC3"/>
      <c r="EVD3"/>
      <c r="EVE3"/>
      <c r="EVF3"/>
      <c r="EVG3"/>
      <c r="EVH3"/>
      <c r="EVI3"/>
      <c r="EVJ3"/>
      <c r="EVK3"/>
      <c r="EVL3"/>
      <c r="EVM3"/>
      <c r="EVN3"/>
      <c r="EVO3"/>
      <c r="EVP3"/>
      <c r="EVQ3"/>
      <c r="EVR3"/>
      <c r="EVS3"/>
      <c r="EVT3"/>
      <c r="EVU3"/>
      <c r="EVV3"/>
      <c r="EVW3"/>
      <c r="EVX3"/>
      <c r="EVY3"/>
      <c r="EVZ3"/>
      <c r="EWA3"/>
      <c r="EWB3"/>
      <c r="EWC3"/>
      <c r="EWD3"/>
      <c r="EWE3"/>
      <c r="EWF3"/>
      <c r="EWG3"/>
      <c r="EWH3"/>
      <c r="EWI3"/>
      <c r="EWJ3"/>
      <c r="EWK3"/>
      <c r="EWL3"/>
      <c r="EWM3"/>
      <c r="EWN3"/>
      <c r="EWO3"/>
      <c r="EWP3"/>
      <c r="EWQ3"/>
      <c r="EWR3"/>
      <c r="EWS3"/>
      <c r="EWT3"/>
      <c r="EWU3"/>
      <c r="EWV3"/>
      <c r="EWW3"/>
      <c r="EWX3"/>
      <c r="EWY3"/>
      <c r="EWZ3"/>
      <c r="EXA3"/>
      <c r="EXB3"/>
      <c r="EXC3"/>
      <c r="EXD3"/>
      <c r="EXE3"/>
      <c r="EXF3"/>
      <c r="EXG3"/>
      <c r="EXH3"/>
      <c r="EXI3"/>
      <c r="EXJ3"/>
      <c r="EXK3"/>
      <c r="EXL3"/>
      <c r="EXM3"/>
      <c r="EXN3"/>
      <c r="EXO3"/>
      <c r="EXP3"/>
      <c r="EXQ3"/>
      <c r="EXR3"/>
      <c r="EXS3"/>
      <c r="EXT3"/>
      <c r="EXU3"/>
      <c r="EXV3"/>
      <c r="EXW3"/>
      <c r="EXX3"/>
      <c r="EXY3"/>
      <c r="EXZ3"/>
      <c r="EYA3"/>
      <c r="EYB3"/>
      <c r="EYC3"/>
      <c r="EYD3"/>
      <c r="EYE3"/>
      <c r="EYF3"/>
      <c r="EYG3"/>
      <c r="EYH3"/>
      <c r="EYI3"/>
      <c r="EYJ3"/>
      <c r="EYK3"/>
      <c r="EYL3"/>
      <c r="EYM3"/>
      <c r="EYN3"/>
      <c r="EYO3"/>
      <c r="EYP3"/>
      <c r="EYQ3"/>
      <c r="EYR3"/>
      <c r="EYS3"/>
      <c r="EYT3"/>
      <c r="EYU3"/>
      <c r="EYV3"/>
      <c r="EYW3"/>
      <c r="EYX3"/>
      <c r="EYY3"/>
      <c r="EYZ3"/>
      <c r="EZA3"/>
      <c r="EZB3"/>
      <c r="EZC3"/>
      <c r="EZD3"/>
      <c r="EZE3"/>
      <c r="EZF3"/>
      <c r="EZG3"/>
      <c r="EZH3"/>
      <c r="EZI3"/>
      <c r="EZJ3"/>
      <c r="EZK3"/>
      <c r="EZL3"/>
      <c r="EZM3"/>
      <c r="EZN3"/>
      <c r="EZO3"/>
      <c r="EZP3"/>
      <c r="EZQ3"/>
      <c r="EZR3"/>
      <c r="EZS3"/>
      <c r="EZT3"/>
      <c r="EZU3"/>
      <c r="EZV3"/>
      <c r="EZW3"/>
      <c r="EZX3"/>
      <c r="EZY3"/>
      <c r="EZZ3"/>
      <c r="FAA3"/>
      <c r="FAB3"/>
      <c r="FAC3"/>
      <c r="FAD3"/>
      <c r="FAE3"/>
      <c r="FAF3"/>
      <c r="FAG3"/>
      <c r="FAH3"/>
      <c r="FAI3"/>
      <c r="FAJ3"/>
      <c r="FAK3"/>
      <c r="FAL3"/>
      <c r="FAM3"/>
      <c r="FAN3"/>
      <c r="FAO3"/>
      <c r="FAP3"/>
      <c r="FAQ3"/>
      <c r="FAR3"/>
      <c r="FAS3"/>
      <c r="FAT3"/>
      <c r="FAU3"/>
      <c r="FAV3"/>
      <c r="FAW3"/>
      <c r="FAX3"/>
      <c r="FAY3"/>
      <c r="FAZ3"/>
      <c r="FBA3"/>
      <c r="FBB3"/>
      <c r="FBC3"/>
      <c r="FBD3"/>
      <c r="FBE3"/>
      <c r="FBF3"/>
      <c r="FBG3"/>
      <c r="FBH3"/>
      <c r="FBI3"/>
      <c r="FBJ3"/>
      <c r="FBK3"/>
      <c r="FBL3"/>
      <c r="FBM3"/>
      <c r="FBN3"/>
      <c r="FBO3"/>
      <c r="FBP3"/>
      <c r="FBQ3"/>
      <c r="FBR3"/>
      <c r="FBS3"/>
      <c r="FBT3"/>
      <c r="FBU3"/>
      <c r="FBV3"/>
      <c r="FBW3"/>
      <c r="FBX3"/>
      <c r="FBY3"/>
      <c r="FBZ3"/>
      <c r="FCA3"/>
      <c r="FCB3"/>
      <c r="FCC3"/>
      <c r="FCD3"/>
      <c r="FCE3"/>
      <c r="FCF3"/>
      <c r="FCG3"/>
      <c r="FCH3"/>
      <c r="FCI3"/>
      <c r="FCJ3"/>
      <c r="FCK3"/>
      <c r="FCL3"/>
      <c r="FCM3"/>
      <c r="FCN3"/>
      <c r="FCO3"/>
      <c r="FCP3"/>
      <c r="FCQ3"/>
      <c r="FCR3"/>
      <c r="FCS3"/>
      <c r="FCT3"/>
      <c r="FCU3"/>
      <c r="FCV3"/>
      <c r="FCW3"/>
      <c r="FCX3"/>
      <c r="FCY3"/>
      <c r="FCZ3"/>
      <c r="FDA3"/>
      <c r="FDB3"/>
      <c r="FDC3"/>
      <c r="FDD3"/>
      <c r="FDE3"/>
      <c r="FDF3"/>
      <c r="FDG3"/>
      <c r="FDH3"/>
      <c r="FDI3"/>
      <c r="FDJ3"/>
      <c r="FDK3"/>
      <c r="FDL3"/>
      <c r="FDM3"/>
      <c r="FDN3"/>
      <c r="FDO3"/>
      <c r="FDP3"/>
      <c r="FDQ3"/>
      <c r="FDR3"/>
      <c r="FDS3"/>
      <c r="FDT3"/>
      <c r="FDU3"/>
      <c r="FDV3"/>
      <c r="FDW3"/>
      <c r="FDX3"/>
      <c r="FDY3"/>
      <c r="FDZ3"/>
      <c r="FEA3"/>
      <c r="FEB3"/>
      <c r="FEC3"/>
      <c r="FED3"/>
      <c r="FEE3"/>
      <c r="FEF3"/>
      <c r="FEG3"/>
      <c r="FEH3"/>
      <c r="FEI3"/>
      <c r="FEJ3"/>
      <c r="FEK3"/>
      <c r="FEL3"/>
      <c r="FEM3"/>
      <c r="FEN3"/>
      <c r="FEO3"/>
      <c r="FEP3"/>
      <c r="FEQ3"/>
      <c r="FER3"/>
      <c r="FES3"/>
      <c r="FET3"/>
      <c r="FEU3"/>
      <c r="FEV3"/>
      <c r="FEW3"/>
      <c r="FEX3"/>
      <c r="FEY3"/>
      <c r="FEZ3"/>
      <c r="FFA3"/>
      <c r="FFB3"/>
      <c r="FFC3"/>
      <c r="FFD3"/>
      <c r="FFE3"/>
      <c r="FFF3"/>
      <c r="FFG3"/>
      <c r="FFH3"/>
      <c r="FFI3"/>
      <c r="FFJ3"/>
      <c r="FFK3"/>
      <c r="FFL3"/>
      <c r="FFM3"/>
      <c r="FFN3"/>
      <c r="FFO3"/>
      <c r="FFP3"/>
      <c r="FFQ3"/>
      <c r="FFR3"/>
      <c r="FFS3"/>
      <c r="FFT3"/>
      <c r="FFU3"/>
      <c r="FFV3"/>
      <c r="FFW3"/>
      <c r="FFX3"/>
      <c r="FFY3"/>
      <c r="FFZ3"/>
      <c r="FGA3"/>
      <c r="FGB3"/>
      <c r="FGC3"/>
      <c r="FGD3"/>
      <c r="FGE3"/>
      <c r="FGF3"/>
      <c r="FGG3"/>
      <c r="FGH3"/>
      <c r="FGI3"/>
      <c r="FGJ3"/>
      <c r="FGK3"/>
      <c r="FGL3"/>
      <c r="FGM3"/>
      <c r="FGN3"/>
      <c r="FGO3"/>
      <c r="FGP3"/>
      <c r="FGQ3"/>
      <c r="FGR3"/>
      <c r="FGS3"/>
      <c r="FGT3"/>
      <c r="FGU3"/>
      <c r="FGV3"/>
      <c r="FGW3"/>
      <c r="FGX3"/>
      <c r="FGY3"/>
      <c r="FGZ3"/>
      <c r="FHA3"/>
      <c r="FHB3"/>
      <c r="FHC3"/>
      <c r="FHD3"/>
      <c r="FHE3"/>
      <c r="FHF3"/>
      <c r="FHG3"/>
      <c r="FHH3"/>
      <c r="FHI3"/>
      <c r="FHJ3"/>
      <c r="FHK3"/>
      <c r="FHL3"/>
      <c r="FHM3"/>
      <c r="FHN3"/>
      <c r="FHO3"/>
      <c r="FHP3"/>
      <c r="FHQ3"/>
      <c r="FHR3"/>
      <c r="FHS3"/>
      <c r="FHT3"/>
      <c r="FHU3"/>
      <c r="FHV3"/>
      <c r="FHW3"/>
      <c r="FHX3"/>
      <c r="FHY3"/>
      <c r="FHZ3"/>
      <c r="FIA3"/>
      <c r="FIB3"/>
      <c r="FIC3"/>
      <c r="FID3"/>
      <c r="FIE3"/>
      <c r="FIF3"/>
      <c r="FIG3"/>
      <c r="FIH3"/>
      <c r="FII3"/>
      <c r="FIJ3"/>
      <c r="FIK3"/>
      <c r="FIL3"/>
      <c r="FIM3"/>
      <c r="FIN3"/>
      <c r="FIO3"/>
      <c r="FIP3"/>
      <c r="FIQ3"/>
      <c r="FIR3"/>
      <c r="FIS3"/>
      <c r="FIT3"/>
      <c r="FIU3"/>
      <c r="FIV3"/>
      <c r="FIW3"/>
      <c r="FIX3"/>
      <c r="FIY3"/>
      <c r="FIZ3"/>
      <c r="FJA3"/>
      <c r="FJB3"/>
      <c r="FJC3"/>
      <c r="FJD3"/>
      <c r="FJE3"/>
      <c r="FJF3"/>
      <c r="FJG3"/>
      <c r="FJH3"/>
      <c r="FJI3"/>
      <c r="FJJ3"/>
      <c r="FJK3"/>
      <c r="FJL3"/>
      <c r="FJM3"/>
      <c r="FJN3"/>
      <c r="FJO3"/>
      <c r="FJP3"/>
      <c r="FJQ3"/>
      <c r="FJR3"/>
      <c r="FJS3"/>
      <c r="FJT3"/>
      <c r="FJU3"/>
      <c r="FJV3"/>
      <c r="FJW3"/>
      <c r="FJX3"/>
      <c r="FJY3"/>
      <c r="FJZ3"/>
      <c r="FKA3"/>
      <c r="FKB3"/>
      <c r="FKC3"/>
      <c r="FKD3"/>
      <c r="FKE3"/>
      <c r="FKF3"/>
      <c r="FKG3"/>
      <c r="FKH3"/>
      <c r="FKI3"/>
      <c r="FKJ3"/>
      <c r="FKK3"/>
      <c r="FKL3"/>
      <c r="FKM3"/>
      <c r="FKN3"/>
      <c r="FKO3"/>
      <c r="FKP3"/>
      <c r="FKQ3"/>
      <c r="FKR3"/>
      <c r="FKS3"/>
      <c r="FKT3"/>
      <c r="FKU3"/>
      <c r="FKV3"/>
      <c r="FKW3"/>
      <c r="FKX3"/>
      <c r="FKY3"/>
      <c r="FKZ3"/>
      <c r="FLA3"/>
      <c r="FLB3"/>
      <c r="FLC3"/>
      <c r="FLD3"/>
      <c r="FLE3"/>
      <c r="FLF3"/>
      <c r="FLG3"/>
      <c r="FLH3"/>
      <c r="FLI3"/>
      <c r="FLJ3"/>
      <c r="FLK3"/>
      <c r="FLL3"/>
      <c r="FLM3"/>
      <c r="FLN3"/>
      <c r="FLO3"/>
      <c r="FLP3"/>
      <c r="FLQ3"/>
      <c r="FLR3"/>
      <c r="FLS3"/>
      <c r="FLT3"/>
      <c r="FLU3"/>
      <c r="FLV3"/>
      <c r="FLW3"/>
      <c r="FLX3"/>
      <c r="FLY3"/>
      <c r="FLZ3"/>
      <c r="FMA3"/>
      <c r="FMB3"/>
      <c r="FMC3"/>
      <c r="FMD3"/>
      <c r="FME3"/>
      <c r="FMF3"/>
      <c r="FMG3"/>
      <c r="FMH3"/>
      <c r="FMI3"/>
      <c r="FMJ3"/>
      <c r="FMK3"/>
      <c r="FML3"/>
      <c r="FMM3"/>
      <c r="FMN3"/>
      <c r="FMO3"/>
      <c r="FMP3"/>
      <c r="FMQ3"/>
      <c r="FMR3"/>
      <c r="FMS3"/>
      <c r="FMT3"/>
      <c r="FMU3"/>
      <c r="FMV3"/>
      <c r="FMW3"/>
      <c r="FMX3"/>
      <c r="FMY3"/>
      <c r="FMZ3"/>
      <c r="FNA3"/>
      <c r="FNB3"/>
      <c r="FNC3"/>
      <c r="FND3"/>
      <c r="FNE3"/>
      <c r="FNF3"/>
      <c r="FNG3"/>
      <c r="FNH3"/>
      <c r="FNI3"/>
      <c r="FNJ3"/>
      <c r="FNK3"/>
      <c r="FNL3"/>
      <c r="FNM3"/>
      <c r="FNN3"/>
      <c r="FNO3"/>
      <c r="FNP3"/>
      <c r="FNQ3"/>
      <c r="FNR3"/>
      <c r="FNS3"/>
      <c r="FNT3"/>
      <c r="FNU3"/>
      <c r="FNV3"/>
      <c r="FNW3"/>
      <c r="FNX3"/>
      <c r="FNY3"/>
      <c r="FNZ3"/>
      <c r="FOA3"/>
      <c r="FOB3"/>
      <c r="FOC3"/>
      <c r="FOD3"/>
      <c r="FOE3"/>
      <c r="FOF3"/>
      <c r="FOG3"/>
      <c r="FOH3"/>
      <c r="FOI3"/>
      <c r="FOJ3"/>
      <c r="FOK3"/>
      <c r="FOL3"/>
      <c r="FOM3"/>
      <c r="FON3"/>
      <c r="FOO3"/>
      <c r="FOP3"/>
      <c r="FOQ3"/>
      <c r="FOR3"/>
      <c r="FOS3"/>
      <c r="FOT3"/>
      <c r="FOU3"/>
      <c r="FOV3"/>
      <c r="FOW3"/>
      <c r="FOX3"/>
      <c r="FOY3"/>
      <c r="FOZ3"/>
      <c r="FPA3"/>
      <c r="FPB3"/>
      <c r="FPC3"/>
      <c r="FPD3"/>
      <c r="FPE3"/>
      <c r="FPF3"/>
      <c r="FPG3"/>
      <c r="FPH3"/>
      <c r="FPI3"/>
      <c r="FPJ3"/>
      <c r="FPK3"/>
      <c r="FPL3"/>
      <c r="FPM3"/>
      <c r="FPN3"/>
      <c r="FPO3"/>
      <c r="FPP3"/>
      <c r="FPQ3"/>
      <c r="FPR3"/>
      <c r="FPS3"/>
      <c r="FPT3"/>
      <c r="FPU3"/>
      <c r="FPV3"/>
      <c r="FPW3"/>
      <c r="FPX3"/>
      <c r="FPY3"/>
      <c r="FPZ3"/>
      <c r="FQA3"/>
      <c r="FQB3"/>
      <c r="FQC3"/>
      <c r="FQD3"/>
      <c r="FQE3"/>
      <c r="FQF3"/>
      <c r="FQG3"/>
      <c r="FQH3"/>
      <c r="FQI3"/>
      <c r="FQJ3"/>
      <c r="FQK3"/>
      <c r="FQL3"/>
      <c r="FQM3"/>
      <c r="FQN3"/>
      <c r="FQO3"/>
      <c r="FQP3"/>
      <c r="FQQ3"/>
      <c r="FQR3"/>
      <c r="FQS3"/>
      <c r="FQT3"/>
      <c r="FQU3"/>
      <c r="FQV3"/>
      <c r="FQW3"/>
      <c r="FQX3"/>
      <c r="FQY3"/>
      <c r="FQZ3"/>
      <c r="FRA3"/>
      <c r="FRB3"/>
      <c r="FRC3"/>
      <c r="FRD3"/>
      <c r="FRE3"/>
      <c r="FRF3"/>
      <c r="FRG3"/>
      <c r="FRH3"/>
      <c r="FRI3"/>
      <c r="FRJ3"/>
      <c r="FRK3"/>
      <c r="FRL3"/>
      <c r="FRM3"/>
      <c r="FRN3"/>
      <c r="FRO3"/>
      <c r="FRP3"/>
      <c r="FRQ3"/>
      <c r="FRR3"/>
      <c r="FRS3"/>
      <c r="FRT3"/>
      <c r="FRU3"/>
      <c r="FRV3"/>
      <c r="FRW3"/>
      <c r="FRX3"/>
      <c r="FRY3"/>
      <c r="FRZ3"/>
      <c r="FSA3"/>
      <c r="FSB3"/>
      <c r="FSC3"/>
      <c r="FSD3"/>
      <c r="FSE3"/>
      <c r="FSF3"/>
      <c r="FSG3"/>
      <c r="FSH3"/>
      <c r="FSI3"/>
      <c r="FSJ3"/>
      <c r="FSK3"/>
      <c r="FSL3"/>
      <c r="FSM3"/>
      <c r="FSN3"/>
      <c r="FSO3"/>
      <c r="FSP3"/>
      <c r="FSQ3"/>
      <c r="FSR3"/>
      <c r="FSS3"/>
      <c r="FST3"/>
      <c r="FSU3"/>
      <c r="FSV3"/>
      <c r="FSW3"/>
      <c r="FSX3"/>
      <c r="FSY3"/>
      <c r="FSZ3"/>
      <c r="FTA3"/>
      <c r="FTB3"/>
      <c r="FTC3"/>
      <c r="FTD3"/>
      <c r="FTE3"/>
      <c r="FTF3"/>
      <c r="FTG3"/>
      <c r="FTH3"/>
      <c r="FTI3"/>
      <c r="FTJ3"/>
      <c r="FTK3"/>
      <c r="FTL3"/>
      <c r="FTM3"/>
      <c r="FTN3"/>
      <c r="FTO3"/>
      <c r="FTP3"/>
      <c r="FTQ3"/>
      <c r="FTR3"/>
      <c r="FTS3"/>
      <c r="FTT3"/>
      <c r="FTU3"/>
      <c r="FTV3"/>
      <c r="FTW3"/>
      <c r="FTX3"/>
      <c r="FTY3"/>
      <c r="FTZ3"/>
      <c r="FUA3"/>
      <c r="FUB3"/>
      <c r="FUC3"/>
      <c r="FUD3"/>
      <c r="FUE3"/>
      <c r="FUF3"/>
      <c r="FUG3"/>
      <c r="FUH3"/>
      <c r="FUI3"/>
      <c r="FUJ3"/>
      <c r="FUK3"/>
      <c r="FUL3"/>
      <c r="FUM3"/>
      <c r="FUN3"/>
      <c r="FUO3"/>
      <c r="FUP3"/>
      <c r="FUQ3"/>
      <c r="FUR3"/>
      <c r="FUS3"/>
      <c r="FUT3"/>
      <c r="FUU3"/>
      <c r="FUV3"/>
      <c r="FUW3"/>
      <c r="FUX3"/>
      <c r="FUY3"/>
      <c r="FUZ3"/>
      <c r="FVA3"/>
      <c r="FVB3"/>
      <c r="FVC3"/>
      <c r="FVD3"/>
      <c r="FVE3"/>
      <c r="FVF3"/>
      <c r="FVG3"/>
      <c r="FVH3"/>
      <c r="FVI3"/>
      <c r="FVJ3"/>
      <c r="FVK3"/>
      <c r="FVL3"/>
      <c r="FVM3"/>
      <c r="FVN3"/>
      <c r="FVO3"/>
      <c r="FVP3"/>
      <c r="FVQ3"/>
      <c r="FVR3"/>
      <c r="FVS3"/>
      <c r="FVT3"/>
      <c r="FVU3"/>
      <c r="FVV3"/>
      <c r="FVW3"/>
      <c r="FVX3"/>
      <c r="FVY3"/>
      <c r="FVZ3"/>
      <c r="FWA3"/>
      <c r="FWB3"/>
      <c r="FWC3"/>
      <c r="FWD3"/>
      <c r="FWE3"/>
      <c r="FWF3"/>
      <c r="FWG3"/>
      <c r="FWH3"/>
      <c r="FWI3"/>
      <c r="FWJ3"/>
      <c r="FWK3"/>
      <c r="FWL3"/>
      <c r="FWM3"/>
      <c r="FWN3"/>
      <c r="FWO3"/>
      <c r="FWP3"/>
      <c r="FWQ3"/>
      <c r="FWR3"/>
      <c r="FWS3"/>
      <c r="FWT3"/>
      <c r="FWU3"/>
      <c r="FWV3"/>
      <c r="FWW3"/>
      <c r="FWX3"/>
      <c r="FWY3"/>
      <c r="FWZ3"/>
      <c r="FXA3"/>
      <c r="FXB3"/>
      <c r="FXC3"/>
      <c r="FXD3"/>
      <c r="FXE3"/>
      <c r="FXF3"/>
      <c r="FXG3"/>
      <c r="FXH3"/>
      <c r="FXI3"/>
      <c r="FXJ3"/>
      <c r="FXK3"/>
      <c r="FXL3"/>
      <c r="FXM3"/>
      <c r="FXN3"/>
      <c r="FXO3"/>
      <c r="FXP3"/>
      <c r="FXQ3"/>
      <c r="FXR3"/>
      <c r="FXS3"/>
      <c r="FXT3"/>
      <c r="FXU3"/>
      <c r="FXV3"/>
      <c r="FXW3"/>
      <c r="FXX3"/>
      <c r="FXY3"/>
      <c r="FXZ3"/>
      <c r="FYA3"/>
      <c r="FYB3"/>
      <c r="FYC3"/>
      <c r="FYD3"/>
      <c r="FYE3"/>
      <c r="FYF3"/>
      <c r="FYG3"/>
      <c r="FYH3"/>
      <c r="FYI3"/>
      <c r="FYJ3"/>
      <c r="FYK3"/>
      <c r="FYL3"/>
      <c r="FYM3"/>
      <c r="FYN3"/>
      <c r="FYO3"/>
      <c r="FYP3"/>
      <c r="FYQ3"/>
      <c r="FYR3"/>
      <c r="FYS3"/>
      <c r="FYT3"/>
      <c r="FYU3"/>
      <c r="FYV3"/>
      <c r="FYW3"/>
      <c r="FYX3"/>
      <c r="FYY3"/>
      <c r="FYZ3"/>
      <c r="FZA3"/>
      <c r="FZB3"/>
      <c r="FZC3"/>
      <c r="FZD3"/>
      <c r="FZE3"/>
      <c r="FZF3"/>
      <c r="FZG3"/>
      <c r="FZH3"/>
      <c r="FZI3"/>
      <c r="FZJ3"/>
      <c r="FZK3"/>
      <c r="FZL3"/>
      <c r="FZM3"/>
      <c r="FZN3"/>
      <c r="FZO3"/>
      <c r="FZP3"/>
      <c r="FZQ3"/>
      <c r="FZR3"/>
      <c r="FZS3"/>
      <c r="FZT3"/>
      <c r="FZU3"/>
      <c r="FZV3"/>
      <c r="FZW3"/>
      <c r="FZX3"/>
      <c r="FZY3"/>
      <c r="FZZ3"/>
      <c r="GAA3"/>
      <c r="GAB3"/>
      <c r="GAC3"/>
      <c r="GAD3"/>
      <c r="GAE3"/>
      <c r="GAF3"/>
      <c r="GAG3"/>
      <c r="GAH3"/>
      <c r="GAI3"/>
      <c r="GAJ3"/>
      <c r="GAK3"/>
      <c r="GAL3"/>
      <c r="GAM3"/>
      <c r="GAN3"/>
      <c r="GAO3"/>
      <c r="GAP3"/>
      <c r="GAQ3"/>
      <c r="GAR3"/>
      <c r="GAS3"/>
      <c r="GAT3"/>
      <c r="GAU3"/>
      <c r="GAV3"/>
      <c r="GAW3"/>
      <c r="GAX3"/>
      <c r="GAY3"/>
      <c r="GAZ3"/>
      <c r="GBA3"/>
      <c r="GBB3"/>
      <c r="GBC3"/>
      <c r="GBD3"/>
      <c r="GBE3"/>
      <c r="GBF3"/>
      <c r="GBG3"/>
      <c r="GBH3"/>
      <c r="GBI3"/>
      <c r="GBJ3"/>
      <c r="GBK3"/>
      <c r="GBL3"/>
      <c r="GBM3"/>
      <c r="GBN3"/>
      <c r="GBO3"/>
      <c r="GBP3"/>
      <c r="GBQ3"/>
      <c r="GBR3"/>
      <c r="GBS3"/>
      <c r="GBT3"/>
      <c r="GBU3"/>
      <c r="GBV3"/>
      <c r="GBW3"/>
      <c r="GBX3"/>
      <c r="GBY3"/>
      <c r="GBZ3"/>
      <c r="GCA3"/>
      <c r="GCB3"/>
      <c r="GCC3"/>
      <c r="GCD3"/>
      <c r="GCE3"/>
      <c r="GCF3"/>
      <c r="GCG3"/>
      <c r="GCH3"/>
      <c r="GCI3"/>
      <c r="GCJ3"/>
      <c r="GCK3"/>
      <c r="GCL3"/>
      <c r="GCM3"/>
      <c r="GCN3"/>
      <c r="GCO3"/>
      <c r="GCP3"/>
      <c r="GCQ3"/>
      <c r="GCR3"/>
      <c r="GCS3"/>
      <c r="GCT3"/>
      <c r="GCU3"/>
      <c r="GCV3"/>
      <c r="GCW3"/>
      <c r="GCX3"/>
      <c r="GCY3"/>
      <c r="GCZ3"/>
      <c r="GDA3"/>
      <c r="GDB3"/>
      <c r="GDC3"/>
      <c r="GDD3"/>
      <c r="GDE3"/>
      <c r="GDF3"/>
      <c r="GDG3"/>
      <c r="GDH3"/>
      <c r="GDI3"/>
      <c r="GDJ3"/>
      <c r="GDK3"/>
      <c r="GDL3"/>
      <c r="GDM3"/>
      <c r="GDN3"/>
      <c r="GDO3"/>
      <c r="GDP3"/>
      <c r="GDQ3"/>
      <c r="GDR3"/>
      <c r="GDS3"/>
      <c r="GDT3"/>
      <c r="GDU3"/>
      <c r="GDV3"/>
      <c r="GDW3"/>
      <c r="GDX3"/>
      <c r="GDY3"/>
      <c r="GDZ3"/>
      <c r="GEA3"/>
      <c r="GEB3"/>
      <c r="GEC3"/>
      <c r="GED3"/>
      <c r="GEE3"/>
      <c r="GEF3"/>
      <c r="GEG3"/>
      <c r="GEH3"/>
      <c r="GEI3"/>
      <c r="GEJ3"/>
      <c r="GEK3"/>
      <c r="GEL3"/>
      <c r="GEM3"/>
      <c r="GEN3"/>
      <c r="GEO3"/>
      <c r="GEP3"/>
      <c r="GEQ3"/>
      <c r="GER3"/>
      <c r="GES3"/>
      <c r="GET3"/>
      <c r="GEU3"/>
      <c r="GEV3"/>
      <c r="GEW3"/>
      <c r="GEX3"/>
      <c r="GEY3"/>
      <c r="GEZ3"/>
      <c r="GFA3"/>
      <c r="GFB3"/>
      <c r="GFC3"/>
      <c r="GFD3"/>
      <c r="GFE3"/>
      <c r="GFF3"/>
      <c r="GFG3"/>
      <c r="GFH3"/>
      <c r="GFI3"/>
      <c r="GFJ3"/>
      <c r="GFK3"/>
      <c r="GFL3"/>
      <c r="GFM3"/>
      <c r="GFN3"/>
      <c r="GFO3"/>
      <c r="GFP3"/>
      <c r="GFQ3"/>
      <c r="GFR3"/>
      <c r="GFS3"/>
      <c r="GFT3"/>
      <c r="GFU3"/>
      <c r="GFV3"/>
      <c r="GFW3"/>
      <c r="GFX3"/>
      <c r="GFY3"/>
      <c r="GFZ3"/>
      <c r="GGA3"/>
      <c r="GGB3"/>
      <c r="GGC3"/>
      <c r="GGD3"/>
      <c r="GGE3"/>
      <c r="GGF3"/>
      <c r="GGG3"/>
      <c r="GGH3"/>
      <c r="GGI3"/>
      <c r="GGJ3"/>
      <c r="GGK3"/>
      <c r="GGL3"/>
      <c r="GGM3"/>
      <c r="GGN3"/>
      <c r="GGO3"/>
      <c r="GGP3"/>
      <c r="GGQ3"/>
      <c r="GGR3"/>
      <c r="GGS3"/>
      <c r="GGT3"/>
      <c r="GGU3"/>
      <c r="GGV3"/>
      <c r="GGW3"/>
      <c r="GGX3"/>
      <c r="GGY3"/>
      <c r="GGZ3"/>
      <c r="GHA3"/>
      <c r="GHB3"/>
      <c r="GHC3"/>
      <c r="GHD3"/>
      <c r="GHE3"/>
      <c r="GHF3"/>
      <c r="GHG3"/>
      <c r="GHH3"/>
      <c r="GHI3"/>
      <c r="GHJ3"/>
      <c r="GHK3"/>
      <c r="GHL3"/>
      <c r="GHM3"/>
      <c r="GHN3"/>
      <c r="GHO3"/>
      <c r="GHP3"/>
      <c r="GHQ3"/>
      <c r="GHR3"/>
      <c r="GHS3"/>
      <c r="GHT3"/>
      <c r="GHU3"/>
      <c r="GHV3"/>
      <c r="GHW3"/>
      <c r="GHX3"/>
      <c r="GHY3"/>
      <c r="GHZ3"/>
      <c r="GIA3"/>
      <c r="GIB3"/>
      <c r="GIC3"/>
      <c r="GID3"/>
      <c r="GIE3"/>
      <c r="GIF3"/>
      <c r="GIG3"/>
      <c r="GIH3"/>
      <c r="GII3"/>
      <c r="GIJ3"/>
      <c r="GIK3"/>
      <c r="GIL3"/>
      <c r="GIM3"/>
      <c r="GIN3"/>
      <c r="GIO3"/>
      <c r="GIP3"/>
      <c r="GIQ3"/>
      <c r="GIR3"/>
      <c r="GIS3"/>
      <c r="GIT3"/>
      <c r="GIU3"/>
      <c r="GIV3"/>
      <c r="GIW3"/>
      <c r="GIX3"/>
      <c r="GIY3"/>
      <c r="GIZ3"/>
      <c r="GJA3"/>
      <c r="GJB3"/>
      <c r="GJC3"/>
      <c r="GJD3"/>
      <c r="GJE3"/>
      <c r="GJF3"/>
      <c r="GJG3"/>
      <c r="GJH3"/>
      <c r="GJI3"/>
      <c r="GJJ3"/>
      <c r="GJK3"/>
      <c r="GJL3"/>
      <c r="GJM3"/>
      <c r="GJN3"/>
      <c r="GJO3"/>
      <c r="GJP3"/>
      <c r="GJQ3"/>
      <c r="GJR3"/>
      <c r="GJS3"/>
      <c r="GJT3"/>
      <c r="GJU3"/>
      <c r="GJV3"/>
      <c r="GJW3"/>
      <c r="GJX3"/>
      <c r="GJY3"/>
      <c r="GJZ3"/>
      <c r="GKA3"/>
      <c r="GKB3"/>
      <c r="GKC3"/>
      <c r="GKD3"/>
      <c r="GKE3"/>
      <c r="GKF3"/>
      <c r="GKG3"/>
      <c r="GKH3"/>
      <c r="GKI3"/>
      <c r="GKJ3"/>
      <c r="GKK3"/>
      <c r="GKL3"/>
      <c r="GKM3"/>
      <c r="GKN3"/>
      <c r="GKO3"/>
      <c r="GKP3"/>
      <c r="GKQ3"/>
      <c r="GKR3"/>
      <c r="GKS3"/>
      <c r="GKT3"/>
      <c r="GKU3"/>
      <c r="GKV3"/>
      <c r="GKW3"/>
      <c r="GKX3"/>
      <c r="GKY3"/>
      <c r="GKZ3"/>
      <c r="GLA3"/>
      <c r="GLB3"/>
      <c r="GLC3"/>
      <c r="GLD3"/>
      <c r="GLE3"/>
      <c r="GLF3"/>
      <c r="GLG3"/>
      <c r="GLH3"/>
      <c r="GLI3"/>
      <c r="GLJ3"/>
      <c r="GLK3"/>
      <c r="GLL3"/>
      <c r="GLM3"/>
      <c r="GLN3"/>
      <c r="GLO3"/>
      <c r="GLP3"/>
      <c r="GLQ3"/>
      <c r="GLR3"/>
      <c r="GLS3"/>
      <c r="GLT3"/>
      <c r="GLU3"/>
      <c r="GLV3"/>
      <c r="GLW3"/>
      <c r="GLX3"/>
      <c r="GLY3"/>
      <c r="GLZ3"/>
      <c r="GMA3"/>
      <c r="GMB3"/>
      <c r="GMC3"/>
      <c r="GMD3"/>
      <c r="GME3"/>
      <c r="GMF3"/>
      <c r="GMG3"/>
      <c r="GMH3"/>
      <c r="GMI3"/>
      <c r="GMJ3"/>
      <c r="GMK3"/>
      <c r="GML3"/>
      <c r="GMM3"/>
      <c r="GMN3"/>
      <c r="GMO3"/>
      <c r="GMP3"/>
      <c r="GMQ3"/>
      <c r="GMR3"/>
      <c r="GMS3"/>
      <c r="GMT3"/>
      <c r="GMU3"/>
      <c r="GMV3"/>
      <c r="GMW3"/>
      <c r="GMX3"/>
      <c r="GMY3"/>
      <c r="GMZ3"/>
      <c r="GNA3"/>
      <c r="GNB3"/>
      <c r="GNC3"/>
      <c r="GND3"/>
      <c r="GNE3"/>
      <c r="GNF3"/>
      <c r="GNG3"/>
      <c r="GNH3"/>
      <c r="GNI3"/>
      <c r="GNJ3"/>
      <c r="GNK3"/>
      <c r="GNL3"/>
      <c r="GNM3"/>
      <c r="GNN3"/>
      <c r="GNO3"/>
      <c r="GNP3"/>
      <c r="GNQ3"/>
      <c r="GNR3"/>
      <c r="GNS3"/>
      <c r="GNT3"/>
      <c r="GNU3"/>
      <c r="GNV3"/>
      <c r="GNW3"/>
      <c r="GNX3"/>
      <c r="GNY3"/>
      <c r="GNZ3"/>
      <c r="GOA3"/>
      <c r="GOB3"/>
      <c r="GOC3"/>
      <c r="GOD3"/>
      <c r="GOE3"/>
      <c r="GOF3"/>
      <c r="GOG3"/>
      <c r="GOH3"/>
      <c r="GOI3"/>
      <c r="GOJ3"/>
      <c r="GOK3"/>
      <c r="GOL3"/>
      <c r="GOM3"/>
      <c r="GON3"/>
      <c r="GOO3"/>
      <c r="GOP3"/>
      <c r="GOQ3"/>
      <c r="GOR3"/>
      <c r="GOS3"/>
      <c r="GOT3"/>
      <c r="GOU3"/>
      <c r="GOV3"/>
      <c r="GOW3"/>
      <c r="GOX3"/>
      <c r="GOY3"/>
      <c r="GOZ3"/>
      <c r="GPA3"/>
      <c r="GPB3"/>
      <c r="GPC3"/>
      <c r="GPD3"/>
      <c r="GPE3"/>
      <c r="GPF3"/>
      <c r="GPG3"/>
      <c r="GPH3"/>
      <c r="GPI3"/>
      <c r="GPJ3"/>
      <c r="GPK3"/>
      <c r="GPL3"/>
      <c r="GPM3"/>
      <c r="GPN3"/>
      <c r="GPO3"/>
      <c r="GPP3"/>
      <c r="GPQ3"/>
      <c r="GPR3"/>
      <c r="GPS3"/>
      <c r="GPT3"/>
      <c r="GPU3"/>
      <c r="GPV3"/>
      <c r="GPW3"/>
      <c r="GPX3"/>
      <c r="GPY3"/>
      <c r="GPZ3"/>
      <c r="GQA3"/>
      <c r="GQB3"/>
      <c r="GQC3"/>
      <c r="GQD3"/>
      <c r="GQE3"/>
      <c r="GQF3"/>
      <c r="GQG3"/>
      <c r="GQH3"/>
      <c r="GQI3"/>
      <c r="GQJ3"/>
      <c r="GQK3"/>
      <c r="GQL3"/>
      <c r="GQM3"/>
      <c r="GQN3"/>
      <c r="GQO3"/>
      <c r="GQP3"/>
      <c r="GQQ3"/>
      <c r="GQR3"/>
      <c r="GQS3"/>
      <c r="GQT3"/>
      <c r="GQU3"/>
      <c r="GQV3"/>
      <c r="GQW3"/>
      <c r="GQX3"/>
      <c r="GQY3"/>
      <c r="GQZ3"/>
      <c r="GRA3"/>
      <c r="GRB3"/>
      <c r="GRC3"/>
      <c r="GRD3"/>
      <c r="GRE3"/>
      <c r="GRF3"/>
      <c r="GRG3"/>
      <c r="GRH3"/>
      <c r="GRI3"/>
      <c r="GRJ3"/>
      <c r="GRK3"/>
      <c r="GRL3"/>
      <c r="GRM3"/>
      <c r="GRN3"/>
      <c r="GRO3"/>
      <c r="GRP3"/>
      <c r="GRQ3"/>
      <c r="GRR3"/>
      <c r="GRS3"/>
      <c r="GRT3"/>
      <c r="GRU3"/>
      <c r="GRV3"/>
      <c r="GRW3"/>
      <c r="GRX3"/>
      <c r="GRY3"/>
      <c r="GRZ3"/>
      <c r="GSA3"/>
      <c r="GSB3"/>
      <c r="GSC3"/>
      <c r="GSD3"/>
      <c r="GSE3"/>
      <c r="GSF3"/>
      <c r="GSG3"/>
      <c r="GSH3"/>
      <c r="GSI3"/>
      <c r="GSJ3"/>
      <c r="GSK3"/>
      <c r="GSL3"/>
      <c r="GSM3"/>
      <c r="GSN3"/>
      <c r="GSO3"/>
      <c r="GSP3"/>
      <c r="GSQ3"/>
      <c r="GSR3"/>
      <c r="GSS3"/>
      <c r="GST3"/>
      <c r="GSU3"/>
      <c r="GSV3"/>
      <c r="GSW3"/>
      <c r="GSX3"/>
      <c r="GSY3"/>
      <c r="GSZ3"/>
      <c r="GTA3"/>
      <c r="GTB3"/>
      <c r="GTC3"/>
      <c r="GTD3"/>
      <c r="GTE3"/>
      <c r="GTF3"/>
      <c r="GTG3"/>
      <c r="GTH3"/>
      <c r="GTI3"/>
      <c r="GTJ3"/>
      <c r="GTK3"/>
      <c r="GTL3"/>
      <c r="GTM3"/>
      <c r="GTN3"/>
      <c r="GTO3"/>
      <c r="GTP3"/>
      <c r="GTQ3"/>
      <c r="GTR3"/>
      <c r="GTS3"/>
      <c r="GTT3"/>
      <c r="GTU3"/>
      <c r="GTV3"/>
      <c r="GTW3"/>
      <c r="GTX3"/>
      <c r="GTY3"/>
      <c r="GTZ3"/>
      <c r="GUA3"/>
      <c r="GUB3"/>
      <c r="GUC3"/>
      <c r="GUD3"/>
      <c r="GUE3"/>
      <c r="GUF3"/>
      <c r="GUG3"/>
      <c r="GUH3"/>
      <c r="GUI3"/>
      <c r="GUJ3"/>
      <c r="GUK3"/>
      <c r="GUL3"/>
      <c r="GUM3"/>
      <c r="GUN3"/>
      <c r="GUO3"/>
      <c r="GUP3"/>
      <c r="GUQ3"/>
      <c r="GUR3"/>
      <c r="GUS3"/>
      <c r="GUT3"/>
      <c r="GUU3"/>
      <c r="GUV3"/>
      <c r="GUW3"/>
      <c r="GUX3"/>
      <c r="GUY3"/>
      <c r="GUZ3"/>
      <c r="GVA3"/>
      <c r="GVB3"/>
      <c r="GVC3"/>
      <c r="GVD3"/>
      <c r="GVE3"/>
      <c r="GVF3"/>
      <c r="GVG3"/>
      <c r="GVH3"/>
      <c r="GVI3"/>
      <c r="GVJ3"/>
      <c r="GVK3"/>
      <c r="GVL3"/>
      <c r="GVM3"/>
      <c r="GVN3"/>
      <c r="GVO3"/>
      <c r="GVP3"/>
      <c r="GVQ3"/>
      <c r="GVR3"/>
      <c r="GVS3"/>
      <c r="GVT3"/>
      <c r="GVU3"/>
      <c r="GVV3"/>
      <c r="GVW3"/>
      <c r="GVX3"/>
      <c r="GVY3"/>
      <c r="GVZ3"/>
      <c r="GWA3"/>
      <c r="GWB3"/>
      <c r="GWC3"/>
      <c r="GWD3"/>
      <c r="GWE3"/>
      <c r="GWF3"/>
      <c r="GWG3"/>
      <c r="GWH3"/>
      <c r="GWI3"/>
      <c r="GWJ3"/>
      <c r="GWK3"/>
      <c r="GWL3"/>
      <c r="GWM3"/>
      <c r="GWN3"/>
      <c r="GWO3"/>
      <c r="GWP3"/>
      <c r="GWQ3"/>
      <c r="GWR3"/>
      <c r="GWS3"/>
      <c r="GWT3"/>
      <c r="GWU3"/>
      <c r="GWV3"/>
      <c r="GWW3"/>
      <c r="GWX3"/>
      <c r="GWY3"/>
      <c r="GWZ3"/>
      <c r="GXA3"/>
      <c r="GXB3"/>
      <c r="GXC3"/>
      <c r="GXD3"/>
      <c r="GXE3"/>
      <c r="GXF3"/>
      <c r="GXG3"/>
      <c r="GXH3"/>
      <c r="GXI3"/>
      <c r="GXJ3"/>
      <c r="GXK3"/>
      <c r="GXL3"/>
      <c r="GXM3"/>
      <c r="GXN3"/>
      <c r="GXO3"/>
      <c r="GXP3"/>
      <c r="GXQ3"/>
      <c r="GXR3"/>
      <c r="GXS3"/>
      <c r="GXT3"/>
      <c r="GXU3"/>
      <c r="GXV3"/>
      <c r="GXW3"/>
      <c r="GXX3"/>
      <c r="GXY3"/>
      <c r="GXZ3"/>
      <c r="GYA3"/>
      <c r="GYB3"/>
      <c r="GYC3"/>
      <c r="GYD3"/>
      <c r="GYE3"/>
      <c r="GYF3"/>
      <c r="GYG3"/>
      <c r="GYH3"/>
      <c r="GYI3"/>
      <c r="GYJ3"/>
      <c r="GYK3"/>
      <c r="GYL3"/>
      <c r="GYM3"/>
      <c r="GYN3"/>
      <c r="GYO3"/>
      <c r="GYP3"/>
      <c r="GYQ3"/>
      <c r="GYR3"/>
      <c r="GYS3"/>
      <c r="GYT3"/>
      <c r="GYU3"/>
      <c r="GYV3"/>
      <c r="GYW3"/>
      <c r="GYX3"/>
      <c r="GYY3"/>
      <c r="GYZ3"/>
      <c r="GZA3"/>
      <c r="GZB3"/>
      <c r="GZC3"/>
      <c r="GZD3"/>
      <c r="GZE3"/>
      <c r="GZF3"/>
      <c r="GZG3"/>
      <c r="GZH3"/>
      <c r="GZI3"/>
      <c r="GZJ3"/>
      <c r="GZK3"/>
      <c r="GZL3"/>
      <c r="GZM3"/>
      <c r="GZN3"/>
      <c r="GZO3"/>
      <c r="GZP3"/>
      <c r="GZQ3"/>
      <c r="GZR3"/>
      <c r="GZS3"/>
      <c r="GZT3"/>
      <c r="GZU3"/>
      <c r="GZV3"/>
      <c r="GZW3"/>
      <c r="GZX3"/>
      <c r="GZY3"/>
      <c r="GZZ3"/>
      <c r="HAA3"/>
      <c r="HAB3"/>
      <c r="HAC3"/>
      <c r="HAD3"/>
      <c r="HAE3"/>
      <c r="HAF3"/>
      <c r="HAG3"/>
      <c r="HAH3"/>
      <c r="HAI3"/>
      <c r="HAJ3"/>
      <c r="HAK3"/>
      <c r="HAL3"/>
      <c r="HAM3"/>
      <c r="HAN3"/>
      <c r="HAO3"/>
      <c r="HAP3"/>
      <c r="HAQ3"/>
      <c r="HAR3"/>
      <c r="HAS3"/>
      <c r="HAT3"/>
      <c r="HAU3"/>
      <c r="HAV3"/>
      <c r="HAW3"/>
      <c r="HAX3"/>
      <c r="HAY3"/>
      <c r="HAZ3"/>
      <c r="HBA3"/>
      <c r="HBB3"/>
      <c r="HBC3"/>
      <c r="HBD3"/>
      <c r="HBE3"/>
      <c r="HBF3"/>
      <c r="HBG3"/>
      <c r="HBH3"/>
      <c r="HBI3"/>
      <c r="HBJ3"/>
      <c r="HBK3"/>
      <c r="HBL3"/>
      <c r="HBM3"/>
      <c r="HBN3"/>
      <c r="HBO3"/>
      <c r="HBP3"/>
      <c r="HBQ3"/>
      <c r="HBR3"/>
      <c r="HBS3"/>
      <c r="HBT3"/>
      <c r="HBU3"/>
      <c r="HBV3"/>
      <c r="HBW3"/>
      <c r="HBX3"/>
      <c r="HBY3"/>
      <c r="HBZ3"/>
      <c r="HCA3"/>
      <c r="HCB3"/>
      <c r="HCC3"/>
      <c r="HCD3"/>
      <c r="HCE3"/>
      <c r="HCF3"/>
      <c r="HCG3"/>
      <c r="HCH3"/>
      <c r="HCI3"/>
      <c r="HCJ3"/>
      <c r="HCK3"/>
      <c r="HCL3"/>
      <c r="HCM3"/>
      <c r="HCN3"/>
      <c r="HCO3"/>
      <c r="HCP3"/>
      <c r="HCQ3"/>
      <c r="HCR3"/>
      <c r="HCS3"/>
      <c r="HCT3"/>
      <c r="HCU3"/>
      <c r="HCV3"/>
      <c r="HCW3"/>
      <c r="HCX3"/>
      <c r="HCY3"/>
      <c r="HCZ3"/>
      <c r="HDA3"/>
      <c r="HDB3"/>
      <c r="HDC3"/>
      <c r="HDD3"/>
      <c r="HDE3"/>
      <c r="HDF3"/>
      <c r="HDG3"/>
      <c r="HDH3"/>
      <c r="HDI3"/>
      <c r="HDJ3"/>
      <c r="HDK3"/>
      <c r="HDL3"/>
      <c r="HDM3"/>
      <c r="HDN3"/>
      <c r="HDO3"/>
      <c r="HDP3"/>
      <c r="HDQ3"/>
      <c r="HDR3"/>
      <c r="HDS3"/>
      <c r="HDT3"/>
      <c r="HDU3"/>
      <c r="HDV3"/>
      <c r="HDW3"/>
      <c r="HDX3"/>
      <c r="HDY3"/>
      <c r="HDZ3"/>
      <c r="HEA3"/>
      <c r="HEB3"/>
      <c r="HEC3"/>
      <c r="HED3"/>
      <c r="HEE3"/>
      <c r="HEF3"/>
      <c r="HEG3"/>
      <c r="HEH3"/>
      <c r="HEI3"/>
      <c r="HEJ3"/>
      <c r="HEK3"/>
      <c r="HEL3"/>
      <c r="HEM3"/>
      <c r="HEN3"/>
      <c r="HEO3"/>
      <c r="HEP3"/>
      <c r="HEQ3"/>
      <c r="HER3"/>
      <c r="HES3"/>
      <c r="HET3"/>
      <c r="HEU3"/>
      <c r="HEV3"/>
      <c r="HEW3"/>
      <c r="HEX3"/>
      <c r="HEY3"/>
      <c r="HEZ3"/>
      <c r="HFA3"/>
      <c r="HFB3"/>
      <c r="HFC3"/>
      <c r="HFD3"/>
      <c r="HFE3"/>
      <c r="HFF3"/>
      <c r="HFG3"/>
      <c r="HFH3"/>
      <c r="HFI3"/>
      <c r="HFJ3"/>
      <c r="HFK3"/>
      <c r="HFL3"/>
      <c r="HFM3"/>
      <c r="HFN3"/>
      <c r="HFO3"/>
      <c r="HFP3"/>
      <c r="HFQ3"/>
      <c r="HFR3"/>
      <c r="HFS3"/>
      <c r="HFT3"/>
      <c r="HFU3"/>
      <c r="HFV3"/>
      <c r="HFW3"/>
      <c r="HFX3"/>
      <c r="HFY3"/>
      <c r="HFZ3"/>
      <c r="HGA3"/>
      <c r="HGB3"/>
      <c r="HGC3"/>
      <c r="HGD3"/>
      <c r="HGE3"/>
      <c r="HGF3"/>
      <c r="HGG3"/>
      <c r="HGH3"/>
      <c r="HGI3"/>
      <c r="HGJ3"/>
      <c r="HGK3"/>
      <c r="HGL3"/>
      <c r="HGM3"/>
      <c r="HGN3"/>
      <c r="HGO3"/>
      <c r="HGP3"/>
      <c r="HGQ3"/>
      <c r="HGR3"/>
      <c r="HGS3"/>
      <c r="HGT3"/>
      <c r="HGU3"/>
      <c r="HGV3"/>
      <c r="HGW3"/>
      <c r="HGX3"/>
      <c r="HGY3"/>
      <c r="HGZ3"/>
      <c r="HHA3"/>
      <c r="HHB3"/>
      <c r="HHC3"/>
      <c r="HHD3"/>
      <c r="HHE3"/>
      <c r="HHF3"/>
      <c r="HHG3"/>
      <c r="HHH3"/>
      <c r="HHI3"/>
      <c r="HHJ3"/>
      <c r="HHK3"/>
      <c r="HHL3"/>
      <c r="HHM3"/>
      <c r="HHN3"/>
      <c r="HHO3"/>
      <c r="HHP3"/>
      <c r="HHQ3"/>
      <c r="HHR3"/>
      <c r="HHS3"/>
      <c r="HHT3"/>
      <c r="HHU3"/>
      <c r="HHV3"/>
      <c r="HHW3"/>
      <c r="HHX3"/>
      <c r="HHY3"/>
      <c r="HHZ3"/>
      <c r="HIA3"/>
      <c r="HIB3"/>
      <c r="HIC3"/>
      <c r="HID3"/>
      <c r="HIE3"/>
      <c r="HIF3"/>
      <c r="HIG3"/>
      <c r="HIH3"/>
      <c r="HII3"/>
      <c r="HIJ3"/>
      <c r="HIK3"/>
      <c r="HIL3"/>
      <c r="HIM3"/>
      <c r="HIN3"/>
      <c r="HIO3"/>
      <c r="HIP3"/>
      <c r="HIQ3"/>
      <c r="HIR3"/>
      <c r="HIS3"/>
      <c r="HIT3"/>
      <c r="HIU3"/>
      <c r="HIV3"/>
      <c r="HIW3"/>
      <c r="HIX3"/>
      <c r="HIY3"/>
      <c r="HIZ3"/>
      <c r="HJA3"/>
      <c r="HJB3"/>
      <c r="HJC3"/>
      <c r="HJD3"/>
      <c r="HJE3"/>
      <c r="HJF3"/>
      <c r="HJG3"/>
      <c r="HJH3"/>
      <c r="HJI3"/>
      <c r="HJJ3"/>
      <c r="HJK3"/>
      <c r="HJL3"/>
      <c r="HJM3"/>
      <c r="HJN3"/>
      <c r="HJO3"/>
      <c r="HJP3"/>
      <c r="HJQ3"/>
      <c r="HJR3"/>
      <c r="HJS3"/>
      <c r="HJT3"/>
      <c r="HJU3"/>
      <c r="HJV3"/>
      <c r="HJW3"/>
      <c r="HJX3"/>
      <c r="HJY3"/>
      <c r="HJZ3"/>
      <c r="HKA3"/>
      <c r="HKB3"/>
      <c r="HKC3"/>
      <c r="HKD3"/>
      <c r="HKE3"/>
      <c r="HKF3"/>
      <c r="HKG3"/>
      <c r="HKH3"/>
      <c r="HKI3"/>
      <c r="HKJ3"/>
      <c r="HKK3"/>
      <c r="HKL3"/>
      <c r="HKM3"/>
      <c r="HKN3"/>
      <c r="HKO3"/>
      <c r="HKP3"/>
      <c r="HKQ3"/>
      <c r="HKR3"/>
      <c r="HKS3"/>
      <c r="HKT3"/>
      <c r="HKU3"/>
      <c r="HKV3"/>
      <c r="HKW3"/>
      <c r="HKX3"/>
      <c r="HKY3"/>
      <c r="HKZ3"/>
      <c r="HLA3"/>
      <c r="HLB3"/>
      <c r="HLC3"/>
      <c r="HLD3"/>
      <c r="HLE3"/>
      <c r="HLF3"/>
      <c r="HLG3"/>
      <c r="HLH3"/>
      <c r="HLI3"/>
      <c r="HLJ3"/>
      <c r="HLK3"/>
      <c r="HLL3"/>
      <c r="HLM3"/>
      <c r="HLN3"/>
      <c r="HLO3"/>
      <c r="HLP3"/>
      <c r="HLQ3"/>
      <c r="HLR3"/>
      <c r="HLS3"/>
      <c r="HLT3"/>
      <c r="HLU3"/>
      <c r="HLV3"/>
      <c r="HLW3"/>
      <c r="HLX3"/>
      <c r="HLY3"/>
      <c r="HLZ3"/>
      <c r="HMA3"/>
      <c r="HMB3"/>
      <c r="HMC3"/>
      <c r="HMD3"/>
      <c r="HME3"/>
      <c r="HMF3"/>
      <c r="HMG3"/>
      <c r="HMH3"/>
      <c r="HMI3"/>
      <c r="HMJ3"/>
      <c r="HMK3"/>
      <c r="HML3"/>
      <c r="HMM3"/>
      <c r="HMN3"/>
      <c r="HMO3"/>
      <c r="HMP3"/>
      <c r="HMQ3"/>
      <c r="HMR3"/>
      <c r="HMS3"/>
      <c r="HMT3"/>
      <c r="HMU3"/>
      <c r="HMV3"/>
      <c r="HMW3"/>
      <c r="HMX3"/>
      <c r="HMY3"/>
      <c r="HMZ3"/>
      <c r="HNA3"/>
      <c r="HNB3"/>
      <c r="HNC3"/>
      <c r="HND3"/>
      <c r="HNE3"/>
      <c r="HNF3"/>
      <c r="HNG3"/>
      <c r="HNH3"/>
      <c r="HNI3"/>
      <c r="HNJ3"/>
      <c r="HNK3"/>
      <c r="HNL3"/>
      <c r="HNM3"/>
      <c r="HNN3"/>
      <c r="HNO3"/>
      <c r="HNP3"/>
      <c r="HNQ3"/>
      <c r="HNR3"/>
      <c r="HNS3"/>
      <c r="HNT3"/>
      <c r="HNU3"/>
      <c r="HNV3"/>
      <c r="HNW3"/>
      <c r="HNX3"/>
      <c r="HNY3"/>
      <c r="HNZ3"/>
      <c r="HOA3"/>
      <c r="HOB3"/>
      <c r="HOC3"/>
      <c r="HOD3"/>
      <c r="HOE3"/>
      <c r="HOF3"/>
      <c r="HOG3"/>
      <c r="HOH3"/>
      <c r="HOI3"/>
      <c r="HOJ3"/>
      <c r="HOK3"/>
      <c r="HOL3"/>
      <c r="HOM3"/>
      <c r="HON3"/>
      <c r="HOO3"/>
      <c r="HOP3"/>
      <c r="HOQ3"/>
      <c r="HOR3"/>
      <c r="HOS3"/>
      <c r="HOT3"/>
      <c r="HOU3"/>
      <c r="HOV3"/>
      <c r="HOW3"/>
      <c r="HOX3"/>
      <c r="HOY3"/>
      <c r="HOZ3"/>
      <c r="HPA3"/>
      <c r="HPB3"/>
      <c r="HPC3"/>
      <c r="HPD3"/>
      <c r="HPE3"/>
      <c r="HPF3"/>
      <c r="HPG3"/>
      <c r="HPH3"/>
      <c r="HPI3"/>
      <c r="HPJ3"/>
      <c r="HPK3"/>
      <c r="HPL3"/>
      <c r="HPM3"/>
      <c r="HPN3"/>
      <c r="HPO3"/>
      <c r="HPP3"/>
      <c r="HPQ3"/>
      <c r="HPR3"/>
      <c r="HPS3"/>
      <c r="HPT3"/>
      <c r="HPU3"/>
      <c r="HPV3"/>
      <c r="HPW3"/>
      <c r="HPX3"/>
      <c r="HPY3"/>
      <c r="HPZ3"/>
      <c r="HQA3"/>
      <c r="HQB3"/>
      <c r="HQC3"/>
      <c r="HQD3"/>
      <c r="HQE3"/>
      <c r="HQF3"/>
      <c r="HQG3"/>
      <c r="HQH3"/>
      <c r="HQI3"/>
      <c r="HQJ3"/>
      <c r="HQK3"/>
      <c r="HQL3"/>
      <c r="HQM3"/>
      <c r="HQN3"/>
      <c r="HQO3"/>
      <c r="HQP3"/>
      <c r="HQQ3"/>
      <c r="HQR3"/>
      <c r="HQS3"/>
      <c r="HQT3"/>
      <c r="HQU3"/>
      <c r="HQV3"/>
      <c r="HQW3"/>
      <c r="HQX3"/>
      <c r="HQY3"/>
      <c r="HQZ3"/>
      <c r="HRA3"/>
      <c r="HRB3"/>
      <c r="HRC3"/>
      <c r="HRD3"/>
      <c r="HRE3"/>
      <c r="HRF3"/>
      <c r="HRG3"/>
      <c r="HRH3"/>
      <c r="HRI3"/>
      <c r="HRJ3"/>
      <c r="HRK3"/>
      <c r="HRL3"/>
      <c r="HRM3"/>
      <c r="HRN3"/>
      <c r="HRO3"/>
      <c r="HRP3"/>
      <c r="HRQ3"/>
      <c r="HRR3"/>
      <c r="HRS3"/>
      <c r="HRT3"/>
      <c r="HRU3"/>
      <c r="HRV3"/>
      <c r="HRW3"/>
      <c r="HRX3"/>
      <c r="HRY3"/>
      <c r="HRZ3"/>
      <c r="HSA3"/>
      <c r="HSB3"/>
      <c r="HSC3"/>
      <c r="HSD3"/>
      <c r="HSE3"/>
      <c r="HSF3"/>
      <c r="HSG3"/>
      <c r="HSH3"/>
      <c r="HSI3"/>
      <c r="HSJ3"/>
      <c r="HSK3"/>
      <c r="HSL3"/>
      <c r="HSM3"/>
      <c r="HSN3"/>
      <c r="HSO3"/>
      <c r="HSP3"/>
      <c r="HSQ3"/>
      <c r="HSR3"/>
      <c r="HSS3"/>
      <c r="HST3"/>
      <c r="HSU3"/>
      <c r="HSV3"/>
      <c r="HSW3"/>
      <c r="HSX3"/>
      <c r="HSY3"/>
      <c r="HSZ3"/>
      <c r="HTA3"/>
      <c r="HTB3"/>
      <c r="HTC3"/>
      <c r="HTD3"/>
      <c r="HTE3"/>
      <c r="HTF3"/>
      <c r="HTG3"/>
      <c r="HTH3"/>
      <c r="HTI3"/>
      <c r="HTJ3"/>
      <c r="HTK3"/>
      <c r="HTL3"/>
      <c r="HTM3"/>
      <c r="HTN3"/>
      <c r="HTO3"/>
      <c r="HTP3"/>
      <c r="HTQ3"/>
      <c r="HTR3"/>
      <c r="HTS3"/>
      <c r="HTT3"/>
      <c r="HTU3"/>
      <c r="HTV3"/>
      <c r="HTW3"/>
      <c r="HTX3"/>
      <c r="HTY3"/>
      <c r="HTZ3"/>
      <c r="HUA3"/>
      <c r="HUB3"/>
      <c r="HUC3"/>
      <c r="HUD3"/>
      <c r="HUE3"/>
      <c r="HUF3"/>
      <c r="HUG3"/>
      <c r="HUH3"/>
      <c r="HUI3"/>
      <c r="HUJ3"/>
      <c r="HUK3"/>
      <c r="HUL3"/>
      <c r="HUM3"/>
      <c r="HUN3"/>
      <c r="HUO3"/>
      <c r="HUP3"/>
      <c r="HUQ3"/>
      <c r="HUR3"/>
      <c r="HUS3"/>
      <c r="HUT3"/>
      <c r="HUU3"/>
      <c r="HUV3"/>
      <c r="HUW3"/>
      <c r="HUX3"/>
      <c r="HUY3"/>
      <c r="HUZ3"/>
      <c r="HVA3"/>
      <c r="HVB3"/>
      <c r="HVC3"/>
      <c r="HVD3"/>
      <c r="HVE3"/>
      <c r="HVF3"/>
      <c r="HVG3"/>
      <c r="HVH3"/>
      <c r="HVI3"/>
      <c r="HVJ3"/>
      <c r="HVK3"/>
      <c r="HVL3"/>
      <c r="HVM3"/>
      <c r="HVN3"/>
      <c r="HVO3"/>
      <c r="HVP3"/>
      <c r="HVQ3"/>
      <c r="HVR3"/>
      <c r="HVS3"/>
      <c r="HVT3"/>
      <c r="HVU3"/>
      <c r="HVV3"/>
      <c r="HVW3"/>
      <c r="HVX3"/>
      <c r="HVY3"/>
      <c r="HVZ3"/>
      <c r="HWA3"/>
      <c r="HWB3"/>
      <c r="HWC3"/>
      <c r="HWD3"/>
      <c r="HWE3"/>
      <c r="HWF3"/>
      <c r="HWG3"/>
      <c r="HWH3"/>
      <c r="HWI3"/>
      <c r="HWJ3"/>
      <c r="HWK3"/>
      <c r="HWL3"/>
      <c r="HWM3"/>
      <c r="HWN3"/>
      <c r="HWO3"/>
      <c r="HWP3"/>
      <c r="HWQ3"/>
      <c r="HWR3"/>
      <c r="HWS3"/>
      <c r="HWT3"/>
      <c r="HWU3"/>
      <c r="HWV3"/>
      <c r="HWW3"/>
      <c r="HWX3"/>
      <c r="HWY3"/>
      <c r="HWZ3"/>
      <c r="HXA3"/>
      <c r="HXB3"/>
      <c r="HXC3"/>
      <c r="HXD3"/>
      <c r="HXE3"/>
      <c r="HXF3"/>
      <c r="HXG3"/>
      <c r="HXH3"/>
      <c r="HXI3"/>
      <c r="HXJ3"/>
      <c r="HXK3"/>
      <c r="HXL3"/>
      <c r="HXM3"/>
      <c r="HXN3"/>
      <c r="HXO3"/>
      <c r="HXP3"/>
      <c r="HXQ3"/>
      <c r="HXR3"/>
      <c r="HXS3"/>
      <c r="HXT3"/>
      <c r="HXU3"/>
      <c r="HXV3"/>
      <c r="HXW3"/>
      <c r="HXX3"/>
      <c r="HXY3"/>
      <c r="HXZ3"/>
      <c r="HYA3"/>
      <c r="HYB3"/>
      <c r="HYC3"/>
      <c r="HYD3"/>
      <c r="HYE3"/>
      <c r="HYF3"/>
      <c r="HYG3"/>
      <c r="HYH3"/>
      <c r="HYI3"/>
      <c r="HYJ3"/>
      <c r="HYK3"/>
      <c r="HYL3"/>
      <c r="HYM3"/>
      <c r="HYN3"/>
      <c r="HYO3"/>
      <c r="HYP3"/>
      <c r="HYQ3"/>
      <c r="HYR3"/>
      <c r="HYS3"/>
      <c r="HYT3"/>
      <c r="HYU3"/>
      <c r="HYV3"/>
      <c r="HYW3"/>
      <c r="HYX3"/>
      <c r="HYY3"/>
      <c r="HYZ3"/>
      <c r="HZA3"/>
      <c r="HZB3"/>
      <c r="HZC3"/>
      <c r="HZD3"/>
      <c r="HZE3"/>
      <c r="HZF3"/>
      <c r="HZG3"/>
      <c r="HZH3"/>
      <c r="HZI3"/>
      <c r="HZJ3"/>
      <c r="HZK3"/>
      <c r="HZL3"/>
      <c r="HZM3"/>
      <c r="HZN3"/>
      <c r="HZO3"/>
      <c r="HZP3"/>
      <c r="HZQ3"/>
      <c r="HZR3"/>
      <c r="HZS3"/>
      <c r="HZT3"/>
      <c r="HZU3"/>
      <c r="HZV3"/>
      <c r="HZW3"/>
      <c r="HZX3"/>
      <c r="HZY3"/>
      <c r="HZZ3"/>
      <c r="IAA3"/>
      <c r="IAB3"/>
      <c r="IAC3"/>
      <c r="IAD3"/>
      <c r="IAE3"/>
      <c r="IAF3"/>
      <c r="IAG3"/>
      <c r="IAH3"/>
      <c r="IAI3"/>
      <c r="IAJ3"/>
      <c r="IAK3"/>
      <c r="IAL3"/>
      <c r="IAM3"/>
      <c r="IAN3"/>
      <c r="IAO3"/>
      <c r="IAP3"/>
      <c r="IAQ3"/>
      <c r="IAR3"/>
      <c r="IAS3"/>
      <c r="IAT3"/>
      <c r="IAU3"/>
      <c r="IAV3"/>
      <c r="IAW3"/>
      <c r="IAX3"/>
      <c r="IAY3"/>
      <c r="IAZ3"/>
      <c r="IBA3"/>
      <c r="IBB3"/>
      <c r="IBC3"/>
      <c r="IBD3"/>
      <c r="IBE3"/>
      <c r="IBF3"/>
      <c r="IBG3"/>
      <c r="IBH3"/>
      <c r="IBI3"/>
      <c r="IBJ3"/>
      <c r="IBK3"/>
      <c r="IBL3"/>
      <c r="IBM3"/>
      <c r="IBN3"/>
      <c r="IBO3"/>
      <c r="IBP3"/>
      <c r="IBQ3"/>
      <c r="IBR3"/>
      <c r="IBS3"/>
      <c r="IBT3"/>
      <c r="IBU3"/>
      <c r="IBV3"/>
      <c r="IBW3"/>
      <c r="IBX3"/>
      <c r="IBY3"/>
      <c r="IBZ3"/>
      <c r="ICA3"/>
      <c r="ICB3"/>
      <c r="ICC3"/>
      <c r="ICD3"/>
      <c r="ICE3"/>
      <c r="ICF3"/>
      <c r="ICG3"/>
      <c r="ICH3"/>
      <c r="ICI3"/>
      <c r="ICJ3"/>
      <c r="ICK3"/>
      <c r="ICL3"/>
      <c r="ICM3"/>
      <c r="ICN3"/>
      <c r="ICO3"/>
      <c r="ICP3"/>
      <c r="ICQ3"/>
      <c r="ICR3"/>
      <c r="ICS3"/>
      <c r="ICT3"/>
      <c r="ICU3"/>
      <c r="ICV3"/>
      <c r="ICW3"/>
      <c r="ICX3"/>
      <c r="ICY3"/>
      <c r="ICZ3"/>
      <c r="IDA3"/>
      <c r="IDB3"/>
      <c r="IDC3"/>
      <c r="IDD3"/>
      <c r="IDE3"/>
      <c r="IDF3"/>
      <c r="IDG3"/>
      <c r="IDH3"/>
      <c r="IDI3"/>
      <c r="IDJ3"/>
      <c r="IDK3"/>
      <c r="IDL3"/>
      <c r="IDM3"/>
      <c r="IDN3"/>
      <c r="IDO3"/>
      <c r="IDP3"/>
      <c r="IDQ3"/>
      <c r="IDR3"/>
      <c r="IDS3"/>
      <c r="IDT3"/>
      <c r="IDU3"/>
      <c r="IDV3"/>
      <c r="IDW3"/>
      <c r="IDX3"/>
      <c r="IDY3"/>
      <c r="IDZ3"/>
      <c r="IEA3"/>
      <c r="IEB3"/>
      <c r="IEC3"/>
      <c r="IED3"/>
      <c r="IEE3"/>
      <c r="IEF3"/>
      <c r="IEG3"/>
      <c r="IEH3"/>
      <c r="IEI3"/>
      <c r="IEJ3"/>
      <c r="IEK3"/>
      <c r="IEL3"/>
      <c r="IEM3"/>
      <c r="IEN3"/>
      <c r="IEO3"/>
      <c r="IEP3"/>
      <c r="IEQ3"/>
      <c r="IER3"/>
      <c r="IES3"/>
      <c r="IET3"/>
      <c r="IEU3"/>
      <c r="IEV3"/>
      <c r="IEW3"/>
      <c r="IEX3"/>
      <c r="IEY3"/>
      <c r="IEZ3"/>
      <c r="IFA3"/>
      <c r="IFB3"/>
      <c r="IFC3"/>
      <c r="IFD3"/>
      <c r="IFE3"/>
      <c r="IFF3"/>
      <c r="IFG3"/>
      <c r="IFH3"/>
      <c r="IFI3"/>
      <c r="IFJ3"/>
      <c r="IFK3"/>
      <c r="IFL3"/>
      <c r="IFM3"/>
      <c r="IFN3"/>
      <c r="IFO3"/>
      <c r="IFP3"/>
      <c r="IFQ3"/>
      <c r="IFR3"/>
      <c r="IFS3"/>
      <c r="IFT3"/>
      <c r="IFU3"/>
      <c r="IFV3"/>
      <c r="IFW3"/>
      <c r="IFX3"/>
      <c r="IFY3"/>
      <c r="IFZ3"/>
      <c r="IGA3"/>
      <c r="IGB3"/>
      <c r="IGC3"/>
      <c r="IGD3"/>
      <c r="IGE3"/>
      <c r="IGF3"/>
      <c r="IGG3"/>
      <c r="IGH3"/>
      <c r="IGI3"/>
      <c r="IGJ3"/>
      <c r="IGK3"/>
      <c r="IGL3"/>
      <c r="IGM3"/>
      <c r="IGN3"/>
      <c r="IGO3"/>
      <c r="IGP3"/>
      <c r="IGQ3"/>
      <c r="IGR3"/>
      <c r="IGS3"/>
      <c r="IGT3"/>
      <c r="IGU3"/>
      <c r="IGV3"/>
      <c r="IGW3"/>
      <c r="IGX3"/>
      <c r="IGY3"/>
      <c r="IGZ3"/>
      <c r="IHA3"/>
      <c r="IHB3"/>
      <c r="IHC3"/>
      <c r="IHD3"/>
      <c r="IHE3"/>
      <c r="IHF3"/>
      <c r="IHG3"/>
      <c r="IHH3"/>
      <c r="IHI3"/>
      <c r="IHJ3"/>
      <c r="IHK3"/>
      <c r="IHL3"/>
      <c r="IHM3"/>
      <c r="IHN3"/>
      <c r="IHO3"/>
      <c r="IHP3"/>
      <c r="IHQ3"/>
      <c r="IHR3"/>
      <c r="IHS3"/>
      <c r="IHT3"/>
      <c r="IHU3"/>
      <c r="IHV3"/>
      <c r="IHW3"/>
      <c r="IHX3"/>
      <c r="IHY3"/>
      <c r="IHZ3"/>
      <c r="IIA3"/>
      <c r="IIB3"/>
      <c r="IIC3"/>
      <c r="IID3"/>
      <c r="IIE3"/>
      <c r="IIF3"/>
      <c r="IIG3"/>
      <c r="IIH3"/>
      <c r="III3"/>
      <c r="IIJ3"/>
      <c r="IIK3"/>
      <c r="IIL3"/>
      <c r="IIM3"/>
      <c r="IIN3"/>
      <c r="IIO3"/>
      <c r="IIP3"/>
      <c r="IIQ3"/>
      <c r="IIR3"/>
      <c r="IIS3"/>
      <c r="IIT3"/>
      <c r="IIU3"/>
      <c r="IIV3"/>
      <c r="IIW3"/>
      <c r="IIX3"/>
      <c r="IIY3"/>
      <c r="IIZ3"/>
      <c r="IJA3"/>
      <c r="IJB3"/>
      <c r="IJC3"/>
      <c r="IJD3"/>
      <c r="IJE3"/>
      <c r="IJF3"/>
      <c r="IJG3"/>
      <c r="IJH3"/>
      <c r="IJI3"/>
      <c r="IJJ3"/>
      <c r="IJK3"/>
      <c r="IJL3"/>
      <c r="IJM3"/>
      <c r="IJN3"/>
      <c r="IJO3"/>
      <c r="IJP3"/>
      <c r="IJQ3"/>
      <c r="IJR3"/>
      <c r="IJS3"/>
      <c r="IJT3"/>
      <c r="IJU3"/>
      <c r="IJV3"/>
      <c r="IJW3"/>
      <c r="IJX3"/>
      <c r="IJY3"/>
      <c r="IJZ3"/>
      <c r="IKA3"/>
      <c r="IKB3"/>
      <c r="IKC3"/>
      <c r="IKD3"/>
      <c r="IKE3"/>
      <c r="IKF3"/>
      <c r="IKG3"/>
      <c r="IKH3"/>
      <c r="IKI3"/>
      <c r="IKJ3"/>
      <c r="IKK3"/>
      <c r="IKL3"/>
      <c r="IKM3"/>
      <c r="IKN3"/>
      <c r="IKO3"/>
      <c r="IKP3"/>
      <c r="IKQ3"/>
      <c r="IKR3"/>
      <c r="IKS3"/>
      <c r="IKT3"/>
      <c r="IKU3"/>
      <c r="IKV3"/>
      <c r="IKW3"/>
      <c r="IKX3"/>
      <c r="IKY3"/>
      <c r="IKZ3"/>
      <c r="ILA3"/>
      <c r="ILB3"/>
      <c r="ILC3"/>
      <c r="ILD3"/>
      <c r="ILE3"/>
      <c r="ILF3"/>
      <c r="ILG3"/>
      <c r="ILH3"/>
      <c r="ILI3"/>
      <c r="ILJ3"/>
      <c r="ILK3"/>
      <c r="ILL3"/>
      <c r="ILM3"/>
      <c r="ILN3"/>
      <c r="ILO3"/>
      <c r="ILP3"/>
      <c r="ILQ3"/>
      <c r="ILR3"/>
      <c r="ILS3"/>
      <c r="ILT3"/>
      <c r="ILU3"/>
      <c r="ILV3"/>
      <c r="ILW3"/>
      <c r="ILX3"/>
      <c r="ILY3"/>
      <c r="ILZ3"/>
      <c r="IMA3"/>
      <c r="IMB3"/>
      <c r="IMC3"/>
      <c r="IMD3"/>
      <c r="IME3"/>
      <c r="IMF3"/>
      <c r="IMG3"/>
      <c r="IMH3"/>
      <c r="IMI3"/>
      <c r="IMJ3"/>
      <c r="IMK3"/>
      <c r="IML3"/>
      <c r="IMM3"/>
      <c r="IMN3"/>
      <c r="IMO3"/>
      <c r="IMP3"/>
      <c r="IMQ3"/>
      <c r="IMR3"/>
      <c r="IMS3"/>
      <c r="IMT3"/>
      <c r="IMU3"/>
      <c r="IMV3"/>
      <c r="IMW3"/>
      <c r="IMX3"/>
      <c r="IMY3"/>
      <c r="IMZ3"/>
      <c r="INA3"/>
      <c r="INB3"/>
      <c r="INC3"/>
      <c r="IND3"/>
      <c r="INE3"/>
      <c r="INF3"/>
      <c r="ING3"/>
      <c r="INH3"/>
      <c r="INI3"/>
      <c r="INJ3"/>
      <c r="INK3"/>
      <c r="INL3"/>
      <c r="INM3"/>
      <c r="INN3"/>
      <c r="INO3"/>
      <c r="INP3"/>
      <c r="INQ3"/>
      <c r="INR3"/>
      <c r="INS3"/>
      <c r="INT3"/>
      <c r="INU3"/>
      <c r="INV3"/>
      <c r="INW3"/>
      <c r="INX3"/>
      <c r="INY3"/>
      <c r="INZ3"/>
      <c r="IOA3"/>
      <c r="IOB3"/>
      <c r="IOC3"/>
      <c r="IOD3"/>
      <c r="IOE3"/>
      <c r="IOF3"/>
      <c r="IOG3"/>
      <c r="IOH3"/>
      <c r="IOI3"/>
      <c r="IOJ3"/>
      <c r="IOK3"/>
      <c r="IOL3"/>
      <c r="IOM3"/>
      <c r="ION3"/>
      <c r="IOO3"/>
      <c r="IOP3"/>
      <c r="IOQ3"/>
      <c r="IOR3"/>
      <c r="IOS3"/>
      <c r="IOT3"/>
      <c r="IOU3"/>
      <c r="IOV3"/>
      <c r="IOW3"/>
      <c r="IOX3"/>
      <c r="IOY3"/>
      <c r="IOZ3"/>
      <c r="IPA3"/>
      <c r="IPB3"/>
      <c r="IPC3"/>
      <c r="IPD3"/>
      <c r="IPE3"/>
      <c r="IPF3"/>
      <c r="IPG3"/>
      <c r="IPH3"/>
      <c r="IPI3"/>
      <c r="IPJ3"/>
      <c r="IPK3"/>
      <c r="IPL3"/>
      <c r="IPM3"/>
      <c r="IPN3"/>
      <c r="IPO3"/>
      <c r="IPP3"/>
      <c r="IPQ3"/>
      <c r="IPR3"/>
      <c r="IPS3"/>
      <c r="IPT3"/>
      <c r="IPU3"/>
      <c r="IPV3"/>
      <c r="IPW3"/>
      <c r="IPX3"/>
      <c r="IPY3"/>
      <c r="IPZ3"/>
      <c r="IQA3"/>
      <c r="IQB3"/>
      <c r="IQC3"/>
      <c r="IQD3"/>
      <c r="IQE3"/>
      <c r="IQF3"/>
      <c r="IQG3"/>
      <c r="IQH3"/>
      <c r="IQI3"/>
      <c r="IQJ3"/>
      <c r="IQK3"/>
      <c r="IQL3"/>
      <c r="IQM3"/>
      <c r="IQN3"/>
      <c r="IQO3"/>
      <c r="IQP3"/>
      <c r="IQQ3"/>
      <c r="IQR3"/>
      <c r="IQS3"/>
      <c r="IQT3"/>
      <c r="IQU3"/>
      <c r="IQV3"/>
      <c r="IQW3"/>
      <c r="IQX3"/>
      <c r="IQY3"/>
      <c r="IQZ3"/>
      <c r="IRA3"/>
      <c r="IRB3"/>
      <c r="IRC3"/>
      <c r="IRD3"/>
      <c r="IRE3"/>
      <c r="IRF3"/>
      <c r="IRG3"/>
      <c r="IRH3"/>
      <c r="IRI3"/>
      <c r="IRJ3"/>
      <c r="IRK3"/>
      <c r="IRL3"/>
      <c r="IRM3"/>
      <c r="IRN3"/>
      <c r="IRO3"/>
      <c r="IRP3"/>
      <c r="IRQ3"/>
      <c r="IRR3"/>
      <c r="IRS3"/>
      <c r="IRT3"/>
      <c r="IRU3"/>
      <c r="IRV3"/>
      <c r="IRW3"/>
      <c r="IRX3"/>
      <c r="IRY3"/>
      <c r="IRZ3"/>
      <c r="ISA3"/>
      <c r="ISB3"/>
      <c r="ISC3"/>
      <c r="ISD3"/>
      <c r="ISE3"/>
      <c r="ISF3"/>
      <c r="ISG3"/>
      <c r="ISH3"/>
      <c r="ISI3"/>
      <c r="ISJ3"/>
      <c r="ISK3"/>
      <c r="ISL3"/>
      <c r="ISM3"/>
      <c r="ISN3"/>
      <c r="ISO3"/>
      <c r="ISP3"/>
      <c r="ISQ3"/>
      <c r="ISR3"/>
      <c r="ISS3"/>
      <c r="IST3"/>
      <c r="ISU3"/>
      <c r="ISV3"/>
      <c r="ISW3"/>
      <c r="ISX3"/>
      <c r="ISY3"/>
      <c r="ISZ3"/>
      <c r="ITA3"/>
      <c r="ITB3"/>
      <c r="ITC3"/>
      <c r="ITD3"/>
      <c r="ITE3"/>
      <c r="ITF3"/>
      <c r="ITG3"/>
      <c r="ITH3"/>
      <c r="ITI3"/>
      <c r="ITJ3"/>
      <c r="ITK3"/>
      <c r="ITL3"/>
      <c r="ITM3"/>
      <c r="ITN3"/>
      <c r="ITO3"/>
      <c r="ITP3"/>
      <c r="ITQ3"/>
      <c r="ITR3"/>
      <c r="ITS3"/>
      <c r="ITT3"/>
      <c r="ITU3"/>
      <c r="ITV3"/>
      <c r="ITW3"/>
      <c r="ITX3"/>
      <c r="ITY3"/>
      <c r="ITZ3"/>
      <c r="IUA3"/>
      <c r="IUB3"/>
      <c r="IUC3"/>
      <c r="IUD3"/>
      <c r="IUE3"/>
      <c r="IUF3"/>
      <c r="IUG3"/>
      <c r="IUH3"/>
      <c r="IUI3"/>
      <c r="IUJ3"/>
      <c r="IUK3"/>
      <c r="IUL3"/>
      <c r="IUM3"/>
      <c r="IUN3"/>
      <c r="IUO3"/>
      <c r="IUP3"/>
      <c r="IUQ3"/>
      <c r="IUR3"/>
      <c r="IUS3"/>
      <c r="IUT3"/>
      <c r="IUU3"/>
      <c r="IUV3"/>
      <c r="IUW3"/>
      <c r="IUX3"/>
      <c r="IUY3"/>
      <c r="IUZ3"/>
      <c r="IVA3"/>
      <c r="IVB3"/>
      <c r="IVC3"/>
      <c r="IVD3"/>
      <c r="IVE3"/>
      <c r="IVF3"/>
      <c r="IVG3"/>
      <c r="IVH3"/>
      <c r="IVI3"/>
      <c r="IVJ3"/>
      <c r="IVK3"/>
      <c r="IVL3"/>
      <c r="IVM3"/>
      <c r="IVN3"/>
      <c r="IVO3"/>
      <c r="IVP3"/>
      <c r="IVQ3"/>
      <c r="IVR3"/>
      <c r="IVS3"/>
      <c r="IVT3"/>
      <c r="IVU3"/>
      <c r="IVV3"/>
      <c r="IVW3"/>
      <c r="IVX3"/>
      <c r="IVY3"/>
      <c r="IVZ3"/>
      <c r="IWA3"/>
      <c r="IWB3"/>
      <c r="IWC3"/>
      <c r="IWD3"/>
      <c r="IWE3"/>
      <c r="IWF3"/>
      <c r="IWG3"/>
      <c r="IWH3"/>
      <c r="IWI3"/>
      <c r="IWJ3"/>
      <c r="IWK3"/>
      <c r="IWL3"/>
      <c r="IWM3"/>
      <c r="IWN3"/>
      <c r="IWO3"/>
      <c r="IWP3"/>
      <c r="IWQ3"/>
      <c r="IWR3"/>
      <c r="IWS3"/>
      <c r="IWT3"/>
      <c r="IWU3"/>
      <c r="IWV3"/>
      <c r="IWW3"/>
      <c r="IWX3"/>
      <c r="IWY3"/>
      <c r="IWZ3"/>
      <c r="IXA3"/>
      <c r="IXB3"/>
      <c r="IXC3"/>
      <c r="IXD3"/>
      <c r="IXE3"/>
      <c r="IXF3"/>
      <c r="IXG3"/>
      <c r="IXH3"/>
      <c r="IXI3"/>
      <c r="IXJ3"/>
      <c r="IXK3"/>
      <c r="IXL3"/>
      <c r="IXM3"/>
      <c r="IXN3"/>
      <c r="IXO3"/>
      <c r="IXP3"/>
      <c r="IXQ3"/>
      <c r="IXR3"/>
      <c r="IXS3"/>
      <c r="IXT3"/>
      <c r="IXU3"/>
      <c r="IXV3"/>
      <c r="IXW3"/>
      <c r="IXX3"/>
      <c r="IXY3"/>
      <c r="IXZ3"/>
      <c r="IYA3"/>
      <c r="IYB3"/>
      <c r="IYC3"/>
      <c r="IYD3"/>
      <c r="IYE3"/>
      <c r="IYF3"/>
      <c r="IYG3"/>
      <c r="IYH3"/>
      <c r="IYI3"/>
      <c r="IYJ3"/>
      <c r="IYK3"/>
      <c r="IYL3"/>
      <c r="IYM3"/>
      <c r="IYN3"/>
      <c r="IYO3"/>
      <c r="IYP3"/>
      <c r="IYQ3"/>
      <c r="IYR3"/>
      <c r="IYS3"/>
      <c r="IYT3"/>
      <c r="IYU3"/>
      <c r="IYV3"/>
      <c r="IYW3"/>
      <c r="IYX3"/>
      <c r="IYY3"/>
      <c r="IYZ3"/>
      <c r="IZA3"/>
      <c r="IZB3"/>
      <c r="IZC3"/>
      <c r="IZD3"/>
      <c r="IZE3"/>
      <c r="IZF3"/>
      <c r="IZG3"/>
      <c r="IZH3"/>
      <c r="IZI3"/>
      <c r="IZJ3"/>
      <c r="IZK3"/>
      <c r="IZL3"/>
      <c r="IZM3"/>
      <c r="IZN3"/>
      <c r="IZO3"/>
      <c r="IZP3"/>
      <c r="IZQ3"/>
      <c r="IZR3"/>
      <c r="IZS3"/>
      <c r="IZT3"/>
      <c r="IZU3"/>
      <c r="IZV3"/>
      <c r="IZW3"/>
      <c r="IZX3"/>
      <c r="IZY3"/>
      <c r="IZZ3"/>
      <c r="JAA3"/>
      <c r="JAB3"/>
      <c r="JAC3"/>
      <c r="JAD3"/>
      <c r="JAE3"/>
      <c r="JAF3"/>
      <c r="JAG3"/>
      <c r="JAH3"/>
      <c r="JAI3"/>
      <c r="JAJ3"/>
      <c r="JAK3"/>
      <c r="JAL3"/>
      <c r="JAM3"/>
      <c r="JAN3"/>
      <c r="JAO3"/>
      <c r="JAP3"/>
      <c r="JAQ3"/>
      <c r="JAR3"/>
      <c r="JAS3"/>
      <c r="JAT3"/>
      <c r="JAU3"/>
      <c r="JAV3"/>
      <c r="JAW3"/>
      <c r="JAX3"/>
      <c r="JAY3"/>
      <c r="JAZ3"/>
      <c r="JBA3"/>
      <c r="JBB3"/>
      <c r="JBC3"/>
      <c r="JBD3"/>
      <c r="JBE3"/>
      <c r="JBF3"/>
      <c r="JBG3"/>
      <c r="JBH3"/>
      <c r="JBI3"/>
      <c r="JBJ3"/>
      <c r="JBK3"/>
      <c r="JBL3"/>
      <c r="JBM3"/>
      <c r="JBN3"/>
      <c r="JBO3"/>
      <c r="JBP3"/>
      <c r="JBQ3"/>
      <c r="JBR3"/>
      <c r="JBS3"/>
      <c r="JBT3"/>
      <c r="JBU3"/>
      <c r="JBV3"/>
      <c r="JBW3"/>
      <c r="JBX3"/>
      <c r="JBY3"/>
      <c r="JBZ3"/>
      <c r="JCA3"/>
      <c r="JCB3"/>
      <c r="JCC3"/>
      <c r="JCD3"/>
      <c r="JCE3"/>
      <c r="JCF3"/>
      <c r="JCG3"/>
      <c r="JCH3"/>
      <c r="JCI3"/>
      <c r="JCJ3"/>
      <c r="JCK3"/>
      <c r="JCL3"/>
      <c r="JCM3"/>
      <c r="JCN3"/>
      <c r="JCO3"/>
      <c r="JCP3"/>
      <c r="JCQ3"/>
      <c r="JCR3"/>
      <c r="JCS3"/>
      <c r="JCT3"/>
      <c r="JCU3"/>
      <c r="JCV3"/>
      <c r="JCW3"/>
      <c r="JCX3"/>
      <c r="JCY3"/>
      <c r="JCZ3"/>
      <c r="JDA3"/>
      <c r="JDB3"/>
      <c r="JDC3"/>
      <c r="JDD3"/>
      <c r="JDE3"/>
      <c r="JDF3"/>
      <c r="JDG3"/>
      <c r="JDH3"/>
      <c r="JDI3"/>
      <c r="JDJ3"/>
      <c r="JDK3"/>
      <c r="JDL3"/>
      <c r="JDM3"/>
      <c r="JDN3"/>
      <c r="JDO3"/>
      <c r="JDP3"/>
      <c r="JDQ3"/>
      <c r="JDR3"/>
      <c r="JDS3"/>
      <c r="JDT3"/>
      <c r="JDU3"/>
      <c r="JDV3"/>
      <c r="JDW3"/>
      <c r="JDX3"/>
      <c r="JDY3"/>
      <c r="JDZ3"/>
      <c r="JEA3"/>
      <c r="JEB3"/>
      <c r="JEC3"/>
      <c r="JED3"/>
      <c r="JEE3"/>
      <c r="JEF3"/>
      <c r="JEG3"/>
      <c r="JEH3"/>
      <c r="JEI3"/>
      <c r="JEJ3"/>
      <c r="JEK3"/>
      <c r="JEL3"/>
      <c r="JEM3"/>
      <c r="JEN3"/>
      <c r="JEO3"/>
      <c r="JEP3"/>
      <c r="JEQ3"/>
      <c r="JER3"/>
      <c r="JES3"/>
      <c r="JET3"/>
      <c r="JEU3"/>
      <c r="JEV3"/>
      <c r="JEW3"/>
      <c r="JEX3"/>
      <c r="JEY3"/>
      <c r="JEZ3"/>
      <c r="JFA3"/>
      <c r="JFB3"/>
      <c r="JFC3"/>
      <c r="JFD3"/>
      <c r="JFE3"/>
      <c r="JFF3"/>
      <c r="JFG3"/>
      <c r="JFH3"/>
      <c r="JFI3"/>
      <c r="JFJ3"/>
      <c r="JFK3"/>
      <c r="JFL3"/>
      <c r="JFM3"/>
      <c r="JFN3"/>
      <c r="JFO3"/>
      <c r="JFP3"/>
      <c r="JFQ3"/>
      <c r="JFR3"/>
      <c r="JFS3"/>
      <c r="JFT3"/>
      <c r="JFU3"/>
      <c r="JFV3"/>
      <c r="JFW3"/>
      <c r="JFX3"/>
      <c r="JFY3"/>
      <c r="JFZ3"/>
      <c r="JGA3"/>
      <c r="JGB3"/>
      <c r="JGC3"/>
      <c r="JGD3"/>
      <c r="JGE3"/>
      <c r="JGF3"/>
      <c r="JGG3"/>
      <c r="JGH3"/>
      <c r="JGI3"/>
      <c r="JGJ3"/>
      <c r="JGK3"/>
      <c r="JGL3"/>
      <c r="JGM3"/>
      <c r="JGN3"/>
      <c r="JGO3"/>
      <c r="JGP3"/>
      <c r="JGQ3"/>
      <c r="JGR3"/>
      <c r="JGS3"/>
      <c r="JGT3"/>
      <c r="JGU3"/>
      <c r="JGV3"/>
      <c r="JGW3"/>
      <c r="JGX3"/>
      <c r="JGY3"/>
      <c r="JGZ3"/>
      <c r="JHA3"/>
      <c r="JHB3"/>
      <c r="JHC3"/>
      <c r="JHD3"/>
      <c r="JHE3"/>
      <c r="JHF3"/>
      <c r="JHG3"/>
      <c r="JHH3"/>
      <c r="JHI3"/>
      <c r="JHJ3"/>
      <c r="JHK3"/>
      <c r="JHL3"/>
      <c r="JHM3"/>
      <c r="JHN3"/>
      <c r="JHO3"/>
      <c r="JHP3"/>
      <c r="JHQ3"/>
      <c r="JHR3"/>
      <c r="JHS3"/>
      <c r="JHT3"/>
      <c r="JHU3"/>
      <c r="JHV3"/>
      <c r="JHW3"/>
      <c r="JHX3"/>
      <c r="JHY3"/>
      <c r="JHZ3"/>
      <c r="JIA3"/>
      <c r="JIB3"/>
      <c r="JIC3"/>
      <c r="JID3"/>
      <c r="JIE3"/>
      <c r="JIF3"/>
      <c r="JIG3"/>
      <c r="JIH3"/>
      <c r="JII3"/>
      <c r="JIJ3"/>
      <c r="JIK3"/>
      <c r="JIL3"/>
      <c r="JIM3"/>
      <c r="JIN3"/>
      <c r="JIO3"/>
      <c r="JIP3"/>
      <c r="JIQ3"/>
      <c r="JIR3"/>
      <c r="JIS3"/>
      <c r="JIT3"/>
      <c r="JIU3"/>
      <c r="JIV3"/>
      <c r="JIW3"/>
      <c r="JIX3"/>
      <c r="JIY3"/>
      <c r="JIZ3"/>
      <c r="JJA3"/>
      <c r="JJB3"/>
      <c r="JJC3"/>
      <c r="JJD3"/>
      <c r="JJE3"/>
      <c r="JJF3"/>
      <c r="JJG3"/>
      <c r="JJH3"/>
      <c r="JJI3"/>
      <c r="JJJ3"/>
      <c r="JJK3"/>
      <c r="JJL3"/>
      <c r="JJM3"/>
      <c r="JJN3"/>
      <c r="JJO3"/>
      <c r="JJP3"/>
      <c r="JJQ3"/>
      <c r="JJR3"/>
      <c r="JJS3"/>
      <c r="JJT3"/>
      <c r="JJU3"/>
      <c r="JJV3"/>
      <c r="JJW3"/>
      <c r="JJX3"/>
      <c r="JJY3"/>
      <c r="JJZ3"/>
      <c r="JKA3"/>
      <c r="JKB3"/>
      <c r="JKC3"/>
      <c r="JKD3"/>
      <c r="JKE3"/>
      <c r="JKF3"/>
      <c r="JKG3"/>
      <c r="JKH3"/>
      <c r="JKI3"/>
      <c r="JKJ3"/>
      <c r="JKK3"/>
      <c r="JKL3"/>
      <c r="JKM3"/>
      <c r="JKN3"/>
      <c r="JKO3"/>
      <c r="JKP3"/>
      <c r="JKQ3"/>
      <c r="JKR3"/>
      <c r="JKS3"/>
      <c r="JKT3"/>
      <c r="JKU3"/>
      <c r="JKV3"/>
      <c r="JKW3"/>
      <c r="JKX3"/>
      <c r="JKY3"/>
      <c r="JKZ3"/>
      <c r="JLA3"/>
      <c r="JLB3"/>
      <c r="JLC3"/>
      <c r="JLD3"/>
      <c r="JLE3"/>
      <c r="JLF3"/>
      <c r="JLG3"/>
      <c r="JLH3"/>
      <c r="JLI3"/>
      <c r="JLJ3"/>
      <c r="JLK3"/>
      <c r="JLL3"/>
      <c r="JLM3"/>
      <c r="JLN3"/>
      <c r="JLO3"/>
      <c r="JLP3"/>
      <c r="JLQ3"/>
      <c r="JLR3"/>
      <c r="JLS3"/>
      <c r="JLT3"/>
      <c r="JLU3"/>
      <c r="JLV3"/>
      <c r="JLW3"/>
      <c r="JLX3"/>
      <c r="JLY3"/>
      <c r="JLZ3"/>
      <c r="JMA3"/>
      <c r="JMB3"/>
      <c r="JMC3"/>
      <c r="JMD3"/>
      <c r="JME3"/>
      <c r="JMF3"/>
      <c r="JMG3"/>
      <c r="JMH3"/>
      <c r="JMI3"/>
      <c r="JMJ3"/>
      <c r="JMK3"/>
      <c r="JML3"/>
      <c r="JMM3"/>
      <c r="JMN3"/>
      <c r="JMO3"/>
      <c r="JMP3"/>
      <c r="JMQ3"/>
      <c r="JMR3"/>
      <c r="JMS3"/>
      <c r="JMT3"/>
      <c r="JMU3"/>
      <c r="JMV3"/>
      <c r="JMW3"/>
      <c r="JMX3"/>
      <c r="JMY3"/>
      <c r="JMZ3"/>
      <c r="JNA3"/>
      <c r="JNB3"/>
      <c r="JNC3"/>
      <c r="JND3"/>
      <c r="JNE3"/>
      <c r="JNF3"/>
      <c r="JNG3"/>
      <c r="JNH3"/>
      <c r="JNI3"/>
      <c r="JNJ3"/>
      <c r="JNK3"/>
      <c r="JNL3"/>
      <c r="JNM3"/>
      <c r="JNN3"/>
      <c r="JNO3"/>
      <c r="JNP3"/>
      <c r="JNQ3"/>
      <c r="JNR3"/>
      <c r="JNS3"/>
      <c r="JNT3"/>
      <c r="JNU3"/>
      <c r="JNV3"/>
      <c r="JNW3"/>
      <c r="JNX3"/>
      <c r="JNY3"/>
      <c r="JNZ3"/>
      <c r="JOA3"/>
      <c r="JOB3"/>
      <c r="JOC3"/>
      <c r="JOD3"/>
      <c r="JOE3"/>
      <c r="JOF3"/>
      <c r="JOG3"/>
      <c r="JOH3"/>
      <c r="JOI3"/>
      <c r="JOJ3"/>
      <c r="JOK3"/>
      <c r="JOL3"/>
      <c r="JOM3"/>
      <c r="JON3"/>
      <c r="JOO3"/>
      <c r="JOP3"/>
      <c r="JOQ3"/>
      <c r="JOR3"/>
      <c r="JOS3"/>
      <c r="JOT3"/>
      <c r="JOU3"/>
      <c r="JOV3"/>
      <c r="JOW3"/>
      <c r="JOX3"/>
      <c r="JOY3"/>
      <c r="JOZ3"/>
      <c r="JPA3"/>
      <c r="JPB3"/>
      <c r="JPC3"/>
      <c r="JPD3"/>
      <c r="JPE3"/>
      <c r="JPF3"/>
      <c r="JPG3"/>
      <c r="JPH3"/>
      <c r="JPI3"/>
      <c r="JPJ3"/>
      <c r="JPK3"/>
      <c r="JPL3"/>
      <c r="JPM3"/>
      <c r="JPN3"/>
      <c r="JPO3"/>
      <c r="JPP3"/>
      <c r="JPQ3"/>
      <c r="JPR3"/>
      <c r="JPS3"/>
      <c r="JPT3"/>
      <c r="JPU3"/>
      <c r="JPV3"/>
      <c r="JPW3"/>
      <c r="JPX3"/>
      <c r="JPY3"/>
      <c r="JPZ3"/>
      <c r="JQA3"/>
      <c r="JQB3"/>
      <c r="JQC3"/>
      <c r="JQD3"/>
      <c r="JQE3"/>
      <c r="JQF3"/>
      <c r="JQG3"/>
      <c r="JQH3"/>
      <c r="JQI3"/>
      <c r="JQJ3"/>
      <c r="JQK3"/>
      <c r="JQL3"/>
      <c r="JQM3"/>
      <c r="JQN3"/>
      <c r="JQO3"/>
      <c r="JQP3"/>
      <c r="JQQ3"/>
      <c r="JQR3"/>
      <c r="JQS3"/>
      <c r="JQT3"/>
      <c r="JQU3"/>
      <c r="JQV3"/>
      <c r="JQW3"/>
      <c r="JQX3"/>
      <c r="JQY3"/>
      <c r="JQZ3"/>
      <c r="JRA3"/>
      <c r="JRB3"/>
      <c r="JRC3"/>
      <c r="JRD3"/>
      <c r="JRE3"/>
      <c r="JRF3"/>
      <c r="JRG3"/>
      <c r="JRH3"/>
      <c r="JRI3"/>
      <c r="JRJ3"/>
      <c r="JRK3"/>
      <c r="JRL3"/>
      <c r="JRM3"/>
      <c r="JRN3"/>
      <c r="JRO3"/>
      <c r="JRP3"/>
      <c r="JRQ3"/>
      <c r="JRR3"/>
      <c r="JRS3"/>
      <c r="JRT3"/>
      <c r="JRU3"/>
      <c r="JRV3"/>
      <c r="JRW3"/>
      <c r="JRX3"/>
      <c r="JRY3"/>
      <c r="JRZ3"/>
      <c r="JSA3"/>
      <c r="JSB3"/>
      <c r="JSC3"/>
      <c r="JSD3"/>
      <c r="JSE3"/>
      <c r="JSF3"/>
      <c r="JSG3"/>
      <c r="JSH3"/>
      <c r="JSI3"/>
      <c r="JSJ3"/>
      <c r="JSK3"/>
      <c r="JSL3"/>
      <c r="JSM3"/>
      <c r="JSN3"/>
      <c r="JSO3"/>
      <c r="JSP3"/>
      <c r="JSQ3"/>
      <c r="JSR3"/>
      <c r="JSS3"/>
      <c r="JST3"/>
      <c r="JSU3"/>
      <c r="JSV3"/>
      <c r="JSW3"/>
      <c r="JSX3"/>
      <c r="JSY3"/>
      <c r="JSZ3"/>
      <c r="JTA3"/>
      <c r="JTB3"/>
      <c r="JTC3"/>
      <c r="JTD3"/>
      <c r="JTE3"/>
      <c r="JTF3"/>
      <c r="JTG3"/>
      <c r="JTH3"/>
      <c r="JTI3"/>
      <c r="JTJ3"/>
      <c r="JTK3"/>
      <c r="JTL3"/>
      <c r="JTM3"/>
      <c r="JTN3"/>
      <c r="JTO3"/>
      <c r="JTP3"/>
      <c r="JTQ3"/>
      <c r="JTR3"/>
      <c r="JTS3"/>
      <c r="JTT3"/>
      <c r="JTU3"/>
      <c r="JTV3"/>
      <c r="JTW3"/>
      <c r="JTX3"/>
      <c r="JTY3"/>
      <c r="JTZ3"/>
      <c r="JUA3"/>
      <c r="JUB3"/>
      <c r="JUC3"/>
      <c r="JUD3"/>
      <c r="JUE3"/>
      <c r="JUF3"/>
      <c r="JUG3"/>
      <c r="JUH3"/>
      <c r="JUI3"/>
      <c r="JUJ3"/>
      <c r="JUK3"/>
      <c r="JUL3"/>
      <c r="JUM3"/>
      <c r="JUN3"/>
      <c r="JUO3"/>
      <c r="JUP3"/>
      <c r="JUQ3"/>
      <c r="JUR3"/>
      <c r="JUS3"/>
      <c r="JUT3"/>
      <c r="JUU3"/>
      <c r="JUV3"/>
      <c r="JUW3"/>
      <c r="JUX3"/>
      <c r="JUY3"/>
      <c r="JUZ3"/>
      <c r="JVA3"/>
      <c r="JVB3"/>
      <c r="JVC3"/>
      <c r="JVD3"/>
      <c r="JVE3"/>
      <c r="JVF3"/>
      <c r="JVG3"/>
      <c r="JVH3"/>
      <c r="JVI3"/>
      <c r="JVJ3"/>
      <c r="JVK3"/>
      <c r="JVL3"/>
      <c r="JVM3"/>
      <c r="JVN3"/>
      <c r="JVO3"/>
      <c r="JVP3"/>
      <c r="JVQ3"/>
      <c r="JVR3"/>
      <c r="JVS3"/>
      <c r="JVT3"/>
      <c r="JVU3"/>
      <c r="JVV3"/>
      <c r="JVW3"/>
      <c r="JVX3"/>
      <c r="JVY3"/>
      <c r="JVZ3"/>
      <c r="JWA3"/>
      <c r="JWB3"/>
      <c r="JWC3"/>
      <c r="JWD3"/>
      <c r="JWE3"/>
      <c r="JWF3"/>
      <c r="JWG3"/>
      <c r="JWH3"/>
      <c r="JWI3"/>
      <c r="JWJ3"/>
      <c r="JWK3"/>
      <c r="JWL3"/>
      <c r="JWM3"/>
      <c r="JWN3"/>
      <c r="JWO3"/>
      <c r="JWP3"/>
      <c r="JWQ3"/>
      <c r="JWR3"/>
      <c r="JWS3"/>
      <c r="JWT3"/>
      <c r="JWU3"/>
      <c r="JWV3"/>
      <c r="JWW3"/>
      <c r="JWX3"/>
      <c r="JWY3"/>
      <c r="JWZ3"/>
      <c r="JXA3"/>
      <c r="JXB3"/>
      <c r="JXC3"/>
      <c r="JXD3"/>
      <c r="JXE3"/>
      <c r="JXF3"/>
      <c r="JXG3"/>
      <c r="JXH3"/>
      <c r="JXI3"/>
      <c r="JXJ3"/>
      <c r="JXK3"/>
      <c r="JXL3"/>
      <c r="JXM3"/>
      <c r="JXN3"/>
      <c r="JXO3"/>
      <c r="JXP3"/>
      <c r="JXQ3"/>
      <c r="JXR3"/>
      <c r="JXS3"/>
      <c r="JXT3"/>
      <c r="JXU3"/>
      <c r="JXV3"/>
      <c r="JXW3"/>
      <c r="JXX3"/>
      <c r="JXY3"/>
      <c r="JXZ3"/>
      <c r="JYA3"/>
      <c r="JYB3"/>
      <c r="JYC3"/>
      <c r="JYD3"/>
      <c r="JYE3"/>
      <c r="JYF3"/>
      <c r="JYG3"/>
      <c r="JYH3"/>
      <c r="JYI3"/>
      <c r="JYJ3"/>
      <c r="JYK3"/>
      <c r="JYL3"/>
      <c r="JYM3"/>
      <c r="JYN3"/>
      <c r="JYO3"/>
      <c r="JYP3"/>
      <c r="JYQ3"/>
      <c r="JYR3"/>
      <c r="JYS3"/>
      <c r="JYT3"/>
      <c r="JYU3"/>
      <c r="JYV3"/>
      <c r="JYW3"/>
      <c r="JYX3"/>
      <c r="JYY3"/>
      <c r="JYZ3"/>
      <c r="JZA3"/>
      <c r="JZB3"/>
      <c r="JZC3"/>
      <c r="JZD3"/>
      <c r="JZE3"/>
      <c r="JZF3"/>
      <c r="JZG3"/>
      <c r="JZH3"/>
      <c r="JZI3"/>
      <c r="JZJ3"/>
      <c r="JZK3"/>
      <c r="JZL3"/>
      <c r="JZM3"/>
      <c r="JZN3"/>
      <c r="JZO3"/>
      <c r="JZP3"/>
      <c r="JZQ3"/>
      <c r="JZR3"/>
      <c r="JZS3"/>
      <c r="JZT3"/>
      <c r="JZU3"/>
      <c r="JZV3"/>
      <c r="JZW3"/>
      <c r="JZX3"/>
      <c r="JZY3"/>
      <c r="JZZ3"/>
      <c r="KAA3"/>
      <c r="KAB3"/>
      <c r="KAC3"/>
      <c r="KAD3"/>
      <c r="KAE3"/>
      <c r="KAF3"/>
      <c r="KAG3"/>
      <c r="KAH3"/>
      <c r="KAI3"/>
      <c r="KAJ3"/>
      <c r="KAK3"/>
      <c r="KAL3"/>
      <c r="KAM3"/>
      <c r="KAN3"/>
      <c r="KAO3"/>
      <c r="KAP3"/>
      <c r="KAQ3"/>
      <c r="KAR3"/>
      <c r="KAS3"/>
      <c r="KAT3"/>
      <c r="KAU3"/>
      <c r="KAV3"/>
      <c r="KAW3"/>
      <c r="KAX3"/>
      <c r="KAY3"/>
      <c r="KAZ3"/>
      <c r="KBA3"/>
      <c r="KBB3"/>
      <c r="KBC3"/>
      <c r="KBD3"/>
      <c r="KBE3"/>
      <c r="KBF3"/>
      <c r="KBG3"/>
      <c r="KBH3"/>
      <c r="KBI3"/>
      <c r="KBJ3"/>
      <c r="KBK3"/>
      <c r="KBL3"/>
      <c r="KBM3"/>
      <c r="KBN3"/>
      <c r="KBO3"/>
      <c r="KBP3"/>
      <c r="KBQ3"/>
      <c r="KBR3"/>
      <c r="KBS3"/>
      <c r="KBT3"/>
      <c r="KBU3"/>
      <c r="KBV3"/>
      <c r="KBW3"/>
      <c r="KBX3"/>
      <c r="KBY3"/>
      <c r="KBZ3"/>
      <c r="KCA3"/>
      <c r="KCB3"/>
      <c r="KCC3"/>
      <c r="KCD3"/>
      <c r="KCE3"/>
      <c r="KCF3"/>
      <c r="KCG3"/>
      <c r="KCH3"/>
      <c r="KCI3"/>
      <c r="KCJ3"/>
      <c r="KCK3"/>
      <c r="KCL3"/>
      <c r="KCM3"/>
      <c r="KCN3"/>
      <c r="KCO3"/>
      <c r="KCP3"/>
      <c r="KCQ3"/>
      <c r="KCR3"/>
      <c r="KCS3"/>
      <c r="KCT3"/>
      <c r="KCU3"/>
      <c r="KCV3"/>
      <c r="KCW3"/>
      <c r="KCX3"/>
      <c r="KCY3"/>
      <c r="KCZ3"/>
      <c r="KDA3"/>
      <c r="KDB3"/>
      <c r="KDC3"/>
      <c r="KDD3"/>
      <c r="KDE3"/>
      <c r="KDF3"/>
      <c r="KDG3"/>
      <c r="KDH3"/>
      <c r="KDI3"/>
      <c r="KDJ3"/>
      <c r="KDK3"/>
      <c r="KDL3"/>
      <c r="KDM3"/>
      <c r="KDN3"/>
      <c r="KDO3"/>
      <c r="KDP3"/>
      <c r="KDQ3"/>
      <c r="KDR3"/>
      <c r="KDS3"/>
      <c r="KDT3"/>
      <c r="KDU3"/>
      <c r="KDV3"/>
      <c r="KDW3"/>
      <c r="KDX3"/>
      <c r="KDY3"/>
      <c r="KDZ3"/>
      <c r="KEA3"/>
      <c r="KEB3"/>
      <c r="KEC3"/>
      <c r="KED3"/>
      <c r="KEE3"/>
      <c r="KEF3"/>
      <c r="KEG3"/>
      <c r="KEH3"/>
      <c r="KEI3"/>
      <c r="KEJ3"/>
      <c r="KEK3"/>
      <c r="KEL3"/>
      <c r="KEM3"/>
      <c r="KEN3"/>
      <c r="KEO3"/>
      <c r="KEP3"/>
      <c r="KEQ3"/>
      <c r="KER3"/>
      <c r="KES3"/>
      <c r="KET3"/>
      <c r="KEU3"/>
      <c r="KEV3"/>
      <c r="KEW3"/>
      <c r="KEX3"/>
      <c r="KEY3"/>
      <c r="KEZ3"/>
      <c r="KFA3"/>
      <c r="KFB3"/>
      <c r="KFC3"/>
      <c r="KFD3"/>
      <c r="KFE3"/>
      <c r="KFF3"/>
      <c r="KFG3"/>
      <c r="KFH3"/>
      <c r="KFI3"/>
      <c r="KFJ3"/>
      <c r="KFK3"/>
      <c r="KFL3"/>
      <c r="KFM3"/>
      <c r="KFN3"/>
      <c r="KFO3"/>
      <c r="KFP3"/>
      <c r="KFQ3"/>
      <c r="KFR3"/>
      <c r="KFS3"/>
      <c r="KFT3"/>
      <c r="KFU3"/>
      <c r="KFV3"/>
      <c r="KFW3"/>
      <c r="KFX3"/>
      <c r="KFY3"/>
      <c r="KFZ3"/>
      <c r="KGA3"/>
      <c r="KGB3"/>
      <c r="KGC3"/>
      <c r="KGD3"/>
      <c r="KGE3"/>
      <c r="KGF3"/>
      <c r="KGG3"/>
      <c r="KGH3"/>
      <c r="KGI3"/>
      <c r="KGJ3"/>
      <c r="KGK3"/>
      <c r="KGL3"/>
      <c r="KGM3"/>
      <c r="KGN3"/>
      <c r="KGO3"/>
      <c r="KGP3"/>
      <c r="KGQ3"/>
      <c r="KGR3"/>
      <c r="KGS3"/>
      <c r="KGT3"/>
      <c r="KGU3"/>
      <c r="KGV3"/>
      <c r="KGW3"/>
      <c r="KGX3"/>
      <c r="KGY3"/>
      <c r="KGZ3"/>
      <c r="KHA3"/>
      <c r="KHB3"/>
      <c r="KHC3"/>
      <c r="KHD3"/>
      <c r="KHE3"/>
      <c r="KHF3"/>
      <c r="KHG3"/>
      <c r="KHH3"/>
      <c r="KHI3"/>
      <c r="KHJ3"/>
      <c r="KHK3"/>
      <c r="KHL3"/>
      <c r="KHM3"/>
      <c r="KHN3"/>
      <c r="KHO3"/>
      <c r="KHP3"/>
      <c r="KHQ3"/>
      <c r="KHR3"/>
      <c r="KHS3"/>
      <c r="KHT3"/>
      <c r="KHU3"/>
      <c r="KHV3"/>
      <c r="KHW3"/>
      <c r="KHX3"/>
      <c r="KHY3"/>
      <c r="KHZ3"/>
      <c r="KIA3"/>
      <c r="KIB3"/>
      <c r="KIC3"/>
      <c r="KID3"/>
      <c r="KIE3"/>
      <c r="KIF3"/>
      <c r="KIG3"/>
      <c r="KIH3"/>
      <c r="KII3"/>
      <c r="KIJ3"/>
      <c r="KIK3"/>
      <c r="KIL3"/>
      <c r="KIM3"/>
      <c r="KIN3"/>
      <c r="KIO3"/>
      <c r="KIP3"/>
      <c r="KIQ3"/>
      <c r="KIR3"/>
      <c r="KIS3"/>
      <c r="KIT3"/>
      <c r="KIU3"/>
      <c r="KIV3"/>
      <c r="KIW3"/>
      <c r="KIX3"/>
      <c r="KIY3"/>
      <c r="KIZ3"/>
      <c r="KJA3"/>
      <c r="KJB3"/>
      <c r="KJC3"/>
      <c r="KJD3"/>
      <c r="KJE3"/>
      <c r="KJF3"/>
      <c r="KJG3"/>
      <c r="KJH3"/>
      <c r="KJI3"/>
      <c r="KJJ3"/>
      <c r="KJK3"/>
      <c r="KJL3"/>
      <c r="KJM3"/>
      <c r="KJN3"/>
      <c r="KJO3"/>
      <c r="KJP3"/>
      <c r="KJQ3"/>
      <c r="KJR3"/>
      <c r="KJS3"/>
      <c r="KJT3"/>
      <c r="KJU3"/>
      <c r="KJV3"/>
      <c r="KJW3"/>
      <c r="KJX3"/>
      <c r="KJY3"/>
      <c r="KJZ3"/>
      <c r="KKA3"/>
      <c r="KKB3"/>
      <c r="KKC3"/>
      <c r="KKD3"/>
      <c r="KKE3"/>
      <c r="KKF3"/>
      <c r="KKG3"/>
      <c r="KKH3"/>
      <c r="KKI3"/>
      <c r="KKJ3"/>
      <c r="KKK3"/>
      <c r="KKL3"/>
      <c r="KKM3"/>
      <c r="KKN3"/>
      <c r="KKO3"/>
      <c r="KKP3"/>
      <c r="KKQ3"/>
      <c r="KKR3"/>
      <c r="KKS3"/>
      <c r="KKT3"/>
      <c r="KKU3"/>
      <c r="KKV3"/>
      <c r="KKW3"/>
      <c r="KKX3"/>
      <c r="KKY3"/>
      <c r="KKZ3"/>
      <c r="KLA3"/>
      <c r="KLB3"/>
      <c r="KLC3"/>
      <c r="KLD3"/>
      <c r="KLE3"/>
      <c r="KLF3"/>
      <c r="KLG3"/>
      <c r="KLH3"/>
      <c r="KLI3"/>
      <c r="KLJ3"/>
      <c r="KLK3"/>
      <c r="KLL3"/>
      <c r="KLM3"/>
      <c r="KLN3"/>
      <c r="KLO3"/>
      <c r="KLP3"/>
      <c r="KLQ3"/>
      <c r="KLR3"/>
      <c r="KLS3"/>
      <c r="KLT3"/>
      <c r="KLU3"/>
      <c r="KLV3"/>
      <c r="KLW3"/>
      <c r="KLX3"/>
      <c r="KLY3"/>
      <c r="KLZ3"/>
      <c r="KMA3"/>
      <c r="KMB3"/>
      <c r="KMC3"/>
      <c r="KMD3"/>
      <c r="KME3"/>
      <c r="KMF3"/>
      <c r="KMG3"/>
      <c r="KMH3"/>
      <c r="KMI3"/>
      <c r="KMJ3"/>
      <c r="KMK3"/>
      <c r="KML3"/>
      <c r="KMM3"/>
      <c r="KMN3"/>
      <c r="KMO3"/>
      <c r="KMP3"/>
      <c r="KMQ3"/>
      <c r="KMR3"/>
      <c r="KMS3"/>
      <c r="KMT3"/>
      <c r="KMU3"/>
      <c r="KMV3"/>
      <c r="KMW3"/>
      <c r="KMX3"/>
      <c r="KMY3"/>
      <c r="KMZ3"/>
      <c r="KNA3"/>
      <c r="KNB3"/>
      <c r="KNC3"/>
      <c r="KND3"/>
      <c r="KNE3"/>
      <c r="KNF3"/>
      <c r="KNG3"/>
      <c r="KNH3"/>
      <c r="KNI3"/>
      <c r="KNJ3"/>
      <c r="KNK3"/>
      <c r="KNL3"/>
      <c r="KNM3"/>
      <c r="KNN3"/>
      <c r="KNO3"/>
      <c r="KNP3"/>
      <c r="KNQ3"/>
      <c r="KNR3"/>
      <c r="KNS3"/>
      <c r="KNT3"/>
      <c r="KNU3"/>
      <c r="KNV3"/>
      <c r="KNW3"/>
      <c r="KNX3"/>
      <c r="KNY3"/>
      <c r="KNZ3"/>
      <c r="KOA3"/>
      <c r="KOB3"/>
      <c r="KOC3"/>
      <c r="KOD3"/>
      <c r="KOE3"/>
      <c r="KOF3"/>
      <c r="KOG3"/>
      <c r="KOH3"/>
      <c r="KOI3"/>
      <c r="KOJ3"/>
      <c r="KOK3"/>
      <c r="KOL3"/>
      <c r="KOM3"/>
      <c r="KON3"/>
      <c r="KOO3"/>
      <c r="KOP3"/>
      <c r="KOQ3"/>
      <c r="KOR3"/>
      <c r="KOS3"/>
      <c r="KOT3"/>
      <c r="KOU3"/>
      <c r="KOV3"/>
      <c r="KOW3"/>
      <c r="KOX3"/>
      <c r="KOY3"/>
      <c r="KOZ3"/>
      <c r="KPA3"/>
      <c r="KPB3"/>
      <c r="KPC3"/>
      <c r="KPD3"/>
      <c r="KPE3"/>
      <c r="KPF3"/>
      <c r="KPG3"/>
      <c r="KPH3"/>
      <c r="KPI3"/>
      <c r="KPJ3"/>
      <c r="KPK3"/>
      <c r="KPL3"/>
      <c r="KPM3"/>
      <c r="KPN3"/>
      <c r="KPO3"/>
      <c r="KPP3"/>
      <c r="KPQ3"/>
      <c r="KPR3"/>
      <c r="KPS3"/>
      <c r="KPT3"/>
      <c r="KPU3"/>
      <c r="KPV3"/>
      <c r="KPW3"/>
      <c r="KPX3"/>
      <c r="KPY3"/>
      <c r="KPZ3"/>
      <c r="KQA3"/>
      <c r="KQB3"/>
      <c r="KQC3"/>
      <c r="KQD3"/>
      <c r="KQE3"/>
      <c r="KQF3"/>
      <c r="KQG3"/>
      <c r="KQH3"/>
      <c r="KQI3"/>
      <c r="KQJ3"/>
      <c r="KQK3"/>
      <c r="KQL3"/>
      <c r="KQM3"/>
      <c r="KQN3"/>
      <c r="KQO3"/>
      <c r="KQP3"/>
      <c r="KQQ3"/>
      <c r="KQR3"/>
      <c r="KQS3"/>
      <c r="KQT3"/>
      <c r="KQU3"/>
      <c r="KQV3"/>
      <c r="KQW3"/>
      <c r="KQX3"/>
      <c r="KQY3"/>
      <c r="KQZ3"/>
      <c r="KRA3"/>
      <c r="KRB3"/>
      <c r="KRC3"/>
      <c r="KRD3"/>
      <c r="KRE3"/>
      <c r="KRF3"/>
      <c r="KRG3"/>
      <c r="KRH3"/>
      <c r="KRI3"/>
      <c r="KRJ3"/>
      <c r="KRK3"/>
      <c r="KRL3"/>
      <c r="KRM3"/>
      <c r="KRN3"/>
      <c r="KRO3"/>
      <c r="KRP3"/>
      <c r="KRQ3"/>
      <c r="KRR3"/>
      <c r="KRS3"/>
      <c r="KRT3"/>
      <c r="KRU3"/>
      <c r="KRV3"/>
      <c r="KRW3"/>
      <c r="KRX3"/>
      <c r="KRY3"/>
      <c r="KRZ3"/>
      <c r="KSA3"/>
      <c r="KSB3"/>
      <c r="KSC3"/>
      <c r="KSD3"/>
      <c r="KSE3"/>
      <c r="KSF3"/>
      <c r="KSG3"/>
      <c r="KSH3"/>
      <c r="KSI3"/>
      <c r="KSJ3"/>
      <c r="KSK3"/>
      <c r="KSL3"/>
      <c r="KSM3"/>
      <c r="KSN3"/>
      <c r="KSO3"/>
      <c r="KSP3"/>
      <c r="KSQ3"/>
      <c r="KSR3"/>
      <c r="KSS3"/>
      <c r="KST3"/>
      <c r="KSU3"/>
      <c r="KSV3"/>
      <c r="KSW3"/>
      <c r="KSX3"/>
      <c r="KSY3"/>
      <c r="KSZ3"/>
      <c r="KTA3"/>
      <c r="KTB3"/>
      <c r="KTC3"/>
      <c r="KTD3"/>
      <c r="KTE3"/>
      <c r="KTF3"/>
      <c r="KTG3"/>
      <c r="KTH3"/>
      <c r="KTI3"/>
      <c r="KTJ3"/>
      <c r="KTK3"/>
      <c r="KTL3"/>
      <c r="KTM3"/>
      <c r="KTN3"/>
      <c r="KTO3"/>
      <c r="KTP3"/>
      <c r="KTQ3"/>
      <c r="KTR3"/>
      <c r="KTS3"/>
      <c r="KTT3"/>
      <c r="KTU3"/>
      <c r="KTV3"/>
      <c r="KTW3"/>
      <c r="KTX3"/>
      <c r="KTY3"/>
      <c r="KTZ3"/>
      <c r="KUA3"/>
      <c r="KUB3"/>
      <c r="KUC3"/>
      <c r="KUD3"/>
      <c r="KUE3"/>
      <c r="KUF3"/>
      <c r="KUG3"/>
      <c r="KUH3"/>
      <c r="KUI3"/>
      <c r="KUJ3"/>
      <c r="KUK3"/>
      <c r="KUL3"/>
      <c r="KUM3"/>
      <c r="KUN3"/>
      <c r="KUO3"/>
      <c r="KUP3"/>
      <c r="KUQ3"/>
      <c r="KUR3"/>
      <c r="KUS3"/>
      <c r="KUT3"/>
      <c r="KUU3"/>
      <c r="KUV3"/>
      <c r="KUW3"/>
      <c r="KUX3"/>
      <c r="KUY3"/>
      <c r="KUZ3"/>
      <c r="KVA3"/>
      <c r="KVB3"/>
      <c r="KVC3"/>
      <c r="KVD3"/>
      <c r="KVE3"/>
      <c r="KVF3"/>
      <c r="KVG3"/>
      <c r="KVH3"/>
      <c r="KVI3"/>
      <c r="KVJ3"/>
      <c r="KVK3"/>
      <c r="KVL3"/>
      <c r="KVM3"/>
      <c r="KVN3"/>
      <c r="KVO3"/>
      <c r="KVP3"/>
      <c r="KVQ3"/>
      <c r="KVR3"/>
      <c r="KVS3"/>
      <c r="KVT3"/>
      <c r="KVU3"/>
      <c r="KVV3"/>
      <c r="KVW3"/>
      <c r="KVX3"/>
      <c r="KVY3"/>
      <c r="KVZ3"/>
      <c r="KWA3"/>
      <c r="KWB3"/>
      <c r="KWC3"/>
      <c r="KWD3"/>
      <c r="KWE3"/>
      <c r="KWF3"/>
      <c r="KWG3"/>
      <c r="KWH3"/>
      <c r="KWI3"/>
      <c r="KWJ3"/>
      <c r="KWK3"/>
      <c r="KWL3"/>
      <c r="KWM3"/>
      <c r="KWN3"/>
      <c r="KWO3"/>
      <c r="KWP3"/>
      <c r="KWQ3"/>
      <c r="KWR3"/>
      <c r="KWS3"/>
      <c r="KWT3"/>
      <c r="KWU3"/>
      <c r="KWV3"/>
      <c r="KWW3"/>
      <c r="KWX3"/>
      <c r="KWY3"/>
      <c r="KWZ3"/>
      <c r="KXA3"/>
      <c r="KXB3"/>
      <c r="KXC3"/>
      <c r="KXD3"/>
      <c r="KXE3"/>
      <c r="KXF3"/>
      <c r="KXG3"/>
      <c r="KXH3"/>
      <c r="KXI3"/>
      <c r="KXJ3"/>
      <c r="KXK3"/>
      <c r="KXL3"/>
      <c r="KXM3"/>
      <c r="KXN3"/>
      <c r="KXO3"/>
      <c r="KXP3"/>
      <c r="KXQ3"/>
      <c r="KXR3"/>
      <c r="KXS3"/>
      <c r="KXT3"/>
      <c r="KXU3"/>
      <c r="KXV3"/>
      <c r="KXW3"/>
      <c r="KXX3"/>
      <c r="KXY3"/>
      <c r="KXZ3"/>
      <c r="KYA3"/>
      <c r="KYB3"/>
      <c r="KYC3"/>
      <c r="KYD3"/>
      <c r="KYE3"/>
      <c r="KYF3"/>
      <c r="KYG3"/>
      <c r="KYH3"/>
      <c r="KYI3"/>
      <c r="KYJ3"/>
      <c r="KYK3"/>
      <c r="KYL3"/>
      <c r="KYM3"/>
      <c r="KYN3"/>
      <c r="KYO3"/>
      <c r="KYP3"/>
      <c r="KYQ3"/>
      <c r="KYR3"/>
      <c r="KYS3"/>
      <c r="KYT3"/>
      <c r="KYU3"/>
      <c r="KYV3"/>
      <c r="KYW3"/>
      <c r="KYX3"/>
      <c r="KYY3"/>
      <c r="KYZ3"/>
      <c r="KZA3"/>
      <c r="KZB3"/>
      <c r="KZC3"/>
      <c r="KZD3"/>
      <c r="KZE3"/>
      <c r="KZF3"/>
      <c r="KZG3"/>
      <c r="KZH3"/>
      <c r="KZI3"/>
      <c r="KZJ3"/>
      <c r="KZK3"/>
      <c r="KZL3"/>
      <c r="KZM3"/>
      <c r="KZN3"/>
      <c r="KZO3"/>
      <c r="KZP3"/>
      <c r="KZQ3"/>
      <c r="KZR3"/>
      <c r="KZS3"/>
      <c r="KZT3"/>
      <c r="KZU3"/>
      <c r="KZV3"/>
      <c r="KZW3"/>
      <c r="KZX3"/>
      <c r="KZY3"/>
      <c r="KZZ3"/>
      <c r="LAA3"/>
      <c r="LAB3"/>
      <c r="LAC3"/>
      <c r="LAD3"/>
      <c r="LAE3"/>
      <c r="LAF3"/>
      <c r="LAG3"/>
      <c r="LAH3"/>
      <c r="LAI3"/>
      <c r="LAJ3"/>
      <c r="LAK3"/>
      <c r="LAL3"/>
      <c r="LAM3"/>
      <c r="LAN3"/>
      <c r="LAO3"/>
      <c r="LAP3"/>
      <c r="LAQ3"/>
      <c r="LAR3"/>
      <c r="LAS3"/>
      <c r="LAT3"/>
      <c r="LAU3"/>
      <c r="LAV3"/>
      <c r="LAW3"/>
      <c r="LAX3"/>
      <c r="LAY3"/>
      <c r="LAZ3"/>
      <c r="LBA3"/>
      <c r="LBB3"/>
      <c r="LBC3"/>
      <c r="LBD3"/>
      <c r="LBE3"/>
      <c r="LBF3"/>
      <c r="LBG3"/>
      <c r="LBH3"/>
      <c r="LBI3"/>
      <c r="LBJ3"/>
      <c r="LBK3"/>
      <c r="LBL3"/>
      <c r="LBM3"/>
      <c r="LBN3"/>
      <c r="LBO3"/>
      <c r="LBP3"/>
      <c r="LBQ3"/>
      <c r="LBR3"/>
      <c r="LBS3"/>
      <c r="LBT3"/>
      <c r="LBU3"/>
      <c r="LBV3"/>
      <c r="LBW3"/>
      <c r="LBX3"/>
      <c r="LBY3"/>
      <c r="LBZ3"/>
      <c r="LCA3"/>
      <c r="LCB3"/>
      <c r="LCC3"/>
      <c r="LCD3"/>
      <c r="LCE3"/>
      <c r="LCF3"/>
      <c r="LCG3"/>
      <c r="LCH3"/>
      <c r="LCI3"/>
      <c r="LCJ3"/>
      <c r="LCK3"/>
      <c r="LCL3"/>
      <c r="LCM3"/>
      <c r="LCN3"/>
      <c r="LCO3"/>
      <c r="LCP3"/>
      <c r="LCQ3"/>
      <c r="LCR3"/>
      <c r="LCS3"/>
      <c r="LCT3"/>
      <c r="LCU3"/>
      <c r="LCV3"/>
      <c r="LCW3"/>
      <c r="LCX3"/>
      <c r="LCY3"/>
      <c r="LCZ3"/>
      <c r="LDA3"/>
      <c r="LDB3"/>
      <c r="LDC3"/>
      <c r="LDD3"/>
      <c r="LDE3"/>
      <c r="LDF3"/>
      <c r="LDG3"/>
      <c r="LDH3"/>
      <c r="LDI3"/>
      <c r="LDJ3"/>
      <c r="LDK3"/>
      <c r="LDL3"/>
      <c r="LDM3"/>
      <c r="LDN3"/>
      <c r="LDO3"/>
      <c r="LDP3"/>
      <c r="LDQ3"/>
      <c r="LDR3"/>
      <c r="LDS3"/>
      <c r="LDT3"/>
      <c r="LDU3"/>
      <c r="LDV3"/>
      <c r="LDW3"/>
      <c r="LDX3"/>
      <c r="LDY3"/>
      <c r="LDZ3"/>
      <c r="LEA3"/>
      <c r="LEB3"/>
      <c r="LEC3"/>
      <c r="LED3"/>
      <c r="LEE3"/>
      <c r="LEF3"/>
      <c r="LEG3"/>
      <c r="LEH3"/>
      <c r="LEI3"/>
      <c r="LEJ3"/>
      <c r="LEK3"/>
      <c r="LEL3"/>
      <c r="LEM3"/>
      <c r="LEN3"/>
      <c r="LEO3"/>
      <c r="LEP3"/>
      <c r="LEQ3"/>
      <c r="LER3"/>
      <c r="LES3"/>
      <c r="LET3"/>
      <c r="LEU3"/>
      <c r="LEV3"/>
      <c r="LEW3"/>
      <c r="LEX3"/>
      <c r="LEY3"/>
      <c r="LEZ3"/>
      <c r="LFA3"/>
      <c r="LFB3"/>
      <c r="LFC3"/>
      <c r="LFD3"/>
      <c r="LFE3"/>
      <c r="LFF3"/>
      <c r="LFG3"/>
      <c r="LFH3"/>
      <c r="LFI3"/>
      <c r="LFJ3"/>
      <c r="LFK3"/>
      <c r="LFL3"/>
      <c r="LFM3"/>
      <c r="LFN3"/>
      <c r="LFO3"/>
      <c r="LFP3"/>
      <c r="LFQ3"/>
      <c r="LFR3"/>
      <c r="LFS3"/>
      <c r="LFT3"/>
      <c r="LFU3"/>
      <c r="LFV3"/>
      <c r="LFW3"/>
      <c r="LFX3"/>
      <c r="LFY3"/>
      <c r="LFZ3"/>
      <c r="LGA3"/>
      <c r="LGB3"/>
      <c r="LGC3"/>
      <c r="LGD3"/>
      <c r="LGE3"/>
      <c r="LGF3"/>
      <c r="LGG3"/>
      <c r="LGH3"/>
      <c r="LGI3"/>
      <c r="LGJ3"/>
      <c r="LGK3"/>
      <c r="LGL3"/>
      <c r="LGM3"/>
      <c r="LGN3"/>
      <c r="LGO3"/>
      <c r="LGP3"/>
      <c r="LGQ3"/>
      <c r="LGR3"/>
      <c r="LGS3"/>
      <c r="LGT3"/>
      <c r="LGU3"/>
      <c r="LGV3"/>
      <c r="LGW3"/>
      <c r="LGX3"/>
      <c r="LGY3"/>
      <c r="LGZ3"/>
      <c r="LHA3"/>
      <c r="LHB3"/>
      <c r="LHC3"/>
      <c r="LHD3"/>
      <c r="LHE3"/>
      <c r="LHF3"/>
      <c r="LHG3"/>
      <c r="LHH3"/>
      <c r="LHI3"/>
      <c r="LHJ3"/>
      <c r="LHK3"/>
      <c r="LHL3"/>
      <c r="LHM3"/>
      <c r="LHN3"/>
      <c r="LHO3"/>
      <c r="LHP3"/>
      <c r="LHQ3"/>
      <c r="LHR3"/>
      <c r="LHS3"/>
      <c r="LHT3"/>
      <c r="LHU3"/>
      <c r="LHV3"/>
      <c r="LHW3"/>
      <c r="LHX3"/>
      <c r="LHY3"/>
      <c r="LHZ3"/>
      <c r="LIA3"/>
      <c r="LIB3"/>
      <c r="LIC3"/>
      <c r="LID3"/>
      <c r="LIE3"/>
      <c r="LIF3"/>
      <c r="LIG3"/>
      <c r="LIH3"/>
      <c r="LII3"/>
      <c r="LIJ3"/>
      <c r="LIK3"/>
      <c r="LIL3"/>
      <c r="LIM3"/>
      <c r="LIN3"/>
      <c r="LIO3"/>
      <c r="LIP3"/>
      <c r="LIQ3"/>
      <c r="LIR3"/>
      <c r="LIS3"/>
      <c r="LIT3"/>
      <c r="LIU3"/>
      <c r="LIV3"/>
      <c r="LIW3"/>
      <c r="LIX3"/>
      <c r="LIY3"/>
      <c r="LIZ3"/>
      <c r="LJA3"/>
      <c r="LJB3"/>
      <c r="LJC3"/>
      <c r="LJD3"/>
      <c r="LJE3"/>
      <c r="LJF3"/>
      <c r="LJG3"/>
      <c r="LJH3"/>
      <c r="LJI3"/>
      <c r="LJJ3"/>
      <c r="LJK3"/>
      <c r="LJL3"/>
      <c r="LJM3"/>
      <c r="LJN3"/>
      <c r="LJO3"/>
      <c r="LJP3"/>
      <c r="LJQ3"/>
      <c r="LJR3"/>
      <c r="LJS3"/>
      <c r="LJT3"/>
      <c r="LJU3"/>
      <c r="LJV3"/>
      <c r="LJW3"/>
      <c r="LJX3"/>
      <c r="LJY3"/>
      <c r="LJZ3"/>
      <c r="LKA3"/>
      <c r="LKB3"/>
      <c r="LKC3"/>
      <c r="LKD3"/>
      <c r="LKE3"/>
      <c r="LKF3"/>
      <c r="LKG3"/>
      <c r="LKH3"/>
      <c r="LKI3"/>
      <c r="LKJ3"/>
      <c r="LKK3"/>
      <c r="LKL3"/>
      <c r="LKM3"/>
      <c r="LKN3"/>
      <c r="LKO3"/>
      <c r="LKP3"/>
      <c r="LKQ3"/>
      <c r="LKR3"/>
      <c r="LKS3"/>
      <c r="LKT3"/>
      <c r="LKU3"/>
      <c r="LKV3"/>
      <c r="LKW3"/>
      <c r="LKX3"/>
      <c r="LKY3"/>
      <c r="LKZ3"/>
      <c r="LLA3"/>
      <c r="LLB3"/>
      <c r="LLC3"/>
      <c r="LLD3"/>
      <c r="LLE3"/>
      <c r="LLF3"/>
      <c r="LLG3"/>
      <c r="LLH3"/>
      <c r="LLI3"/>
      <c r="LLJ3"/>
      <c r="LLK3"/>
      <c r="LLL3"/>
      <c r="LLM3"/>
      <c r="LLN3"/>
      <c r="LLO3"/>
      <c r="LLP3"/>
      <c r="LLQ3"/>
      <c r="LLR3"/>
      <c r="LLS3"/>
      <c r="LLT3"/>
      <c r="LLU3"/>
      <c r="LLV3"/>
      <c r="LLW3"/>
      <c r="LLX3"/>
      <c r="LLY3"/>
      <c r="LLZ3"/>
      <c r="LMA3"/>
      <c r="LMB3"/>
      <c r="LMC3"/>
      <c r="LMD3"/>
      <c r="LME3"/>
      <c r="LMF3"/>
      <c r="LMG3"/>
      <c r="LMH3"/>
      <c r="LMI3"/>
      <c r="LMJ3"/>
      <c r="LMK3"/>
      <c r="LML3"/>
      <c r="LMM3"/>
      <c r="LMN3"/>
      <c r="LMO3"/>
      <c r="LMP3"/>
      <c r="LMQ3"/>
      <c r="LMR3"/>
      <c r="LMS3"/>
      <c r="LMT3"/>
      <c r="LMU3"/>
      <c r="LMV3"/>
      <c r="LMW3"/>
      <c r="LMX3"/>
      <c r="LMY3"/>
      <c r="LMZ3"/>
      <c r="LNA3"/>
      <c r="LNB3"/>
      <c r="LNC3"/>
      <c r="LND3"/>
      <c r="LNE3"/>
      <c r="LNF3"/>
      <c r="LNG3"/>
      <c r="LNH3"/>
      <c r="LNI3"/>
      <c r="LNJ3"/>
      <c r="LNK3"/>
      <c r="LNL3"/>
      <c r="LNM3"/>
      <c r="LNN3"/>
      <c r="LNO3"/>
      <c r="LNP3"/>
      <c r="LNQ3"/>
      <c r="LNR3"/>
      <c r="LNS3"/>
      <c r="LNT3"/>
      <c r="LNU3"/>
      <c r="LNV3"/>
      <c r="LNW3"/>
      <c r="LNX3"/>
      <c r="LNY3"/>
      <c r="LNZ3"/>
      <c r="LOA3"/>
      <c r="LOB3"/>
      <c r="LOC3"/>
      <c r="LOD3"/>
      <c r="LOE3"/>
      <c r="LOF3"/>
      <c r="LOG3"/>
      <c r="LOH3"/>
      <c r="LOI3"/>
      <c r="LOJ3"/>
      <c r="LOK3"/>
      <c r="LOL3"/>
      <c r="LOM3"/>
      <c r="LON3"/>
      <c r="LOO3"/>
      <c r="LOP3"/>
      <c r="LOQ3"/>
      <c r="LOR3"/>
      <c r="LOS3"/>
      <c r="LOT3"/>
      <c r="LOU3"/>
      <c r="LOV3"/>
      <c r="LOW3"/>
      <c r="LOX3"/>
      <c r="LOY3"/>
      <c r="LOZ3"/>
      <c r="LPA3"/>
      <c r="LPB3"/>
      <c r="LPC3"/>
      <c r="LPD3"/>
      <c r="LPE3"/>
      <c r="LPF3"/>
      <c r="LPG3"/>
      <c r="LPH3"/>
      <c r="LPI3"/>
      <c r="LPJ3"/>
      <c r="LPK3"/>
      <c r="LPL3"/>
      <c r="LPM3"/>
      <c r="LPN3"/>
      <c r="LPO3"/>
      <c r="LPP3"/>
      <c r="LPQ3"/>
      <c r="LPR3"/>
      <c r="LPS3"/>
      <c r="LPT3"/>
      <c r="LPU3"/>
      <c r="LPV3"/>
      <c r="LPW3"/>
      <c r="LPX3"/>
      <c r="LPY3"/>
      <c r="LPZ3"/>
      <c r="LQA3"/>
      <c r="LQB3"/>
      <c r="LQC3"/>
      <c r="LQD3"/>
      <c r="LQE3"/>
      <c r="LQF3"/>
      <c r="LQG3"/>
      <c r="LQH3"/>
      <c r="LQI3"/>
      <c r="LQJ3"/>
      <c r="LQK3"/>
      <c r="LQL3"/>
      <c r="LQM3"/>
      <c r="LQN3"/>
      <c r="LQO3"/>
      <c r="LQP3"/>
      <c r="LQQ3"/>
      <c r="LQR3"/>
      <c r="LQS3"/>
      <c r="LQT3"/>
      <c r="LQU3"/>
      <c r="LQV3"/>
      <c r="LQW3"/>
      <c r="LQX3"/>
      <c r="LQY3"/>
      <c r="LQZ3"/>
      <c r="LRA3"/>
      <c r="LRB3"/>
      <c r="LRC3"/>
      <c r="LRD3"/>
      <c r="LRE3"/>
      <c r="LRF3"/>
      <c r="LRG3"/>
      <c r="LRH3"/>
      <c r="LRI3"/>
      <c r="LRJ3"/>
      <c r="LRK3"/>
      <c r="LRL3"/>
      <c r="LRM3"/>
      <c r="LRN3"/>
      <c r="LRO3"/>
      <c r="LRP3"/>
      <c r="LRQ3"/>
      <c r="LRR3"/>
      <c r="LRS3"/>
      <c r="LRT3"/>
      <c r="LRU3"/>
      <c r="LRV3"/>
      <c r="LRW3"/>
      <c r="LRX3"/>
      <c r="LRY3"/>
      <c r="LRZ3"/>
      <c r="LSA3"/>
      <c r="LSB3"/>
      <c r="LSC3"/>
      <c r="LSD3"/>
      <c r="LSE3"/>
      <c r="LSF3"/>
      <c r="LSG3"/>
      <c r="LSH3"/>
      <c r="LSI3"/>
      <c r="LSJ3"/>
      <c r="LSK3"/>
      <c r="LSL3"/>
      <c r="LSM3"/>
      <c r="LSN3"/>
      <c r="LSO3"/>
      <c r="LSP3"/>
      <c r="LSQ3"/>
      <c r="LSR3"/>
      <c r="LSS3"/>
      <c r="LST3"/>
      <c r="LSU3"/>
      <c r="LSV3"/>
      <c r="LSW3"/>
      <c r="LSX3"/>
      <c r="LSY3"/>
      <c r="LSZ3"/>
      <c r="LTA3"/>
      <c r="LTB3"/>
      <c r="LTC3"/>
      <c r="LTD3"/>
      <c r="LTE3"/>
      <c r="LTF3"/>
      <c r="LTG3"/>
      <c r="LTH3"/>
      <c r="LTI3"/>
      <c r="LTJ3"/>
      <c r="LTK3"/>
      <c r="LTL3"/>
      <c r="LTM3"/>
      <c r="LTN3"/>
      <c r="LTO3"/>
      <c r="LTP3"/>
      <c r="LTQ3"/>
      <c r="LTR3"/>
      <c r="LTS3"/>
      <c r="LTT3"/>
      <c r="LTU3"/>
      <c r="LTV3"/>
      <c r="LTW3"/>
      <c r="LTX3"/>
      <c r="LTY3"/>
      <c r="LTZ3"/>
      <c r="LUA3"/>
      <c r="LUB3"/>
      <c r="LUC3"/>
      <c r="LUD3"/>
      <c r="LUE3"/>
      <c r="LUF3"/>
      <c r="LUG3"/>
      <c r="LUH3"/>
      <c r="LUI3"/>
      <c r="LUJ3"/>
      <c r="LUK3"/>
      <c r="LUL3"/>
      <c r="LUM3"/>
      <c r="LUN3"/>
      <c r="LUO3"/>
      <c r="LUP3"/>
      <c r="LUQ3"/>
      <c r="LUR3"/>
      <c r="LUS3"/>
      <c r="LUT3"/>
      <c r="LUU3"/>
      <c r="LUV3"/>
      <c r="LUW3"/>
      <c r="LUX3"/>
      <c r="LUY3"/>
      <c r="LUZ3"/>
      <c r="LVA3"/>
      <c r="LVB3"/>
      <c r="LVC3"/>
      <c r="LVD3"/>
      <c r="LVE3"/>
      <c r="LVF3"/>
      <c r="LVG3"/>
      <c r="LVH3"/>
      <c r="LVI3"/>
      <c r="LVJ3"/>
      <c r="LVK3"/>
      <c r="LVL3"/>
      <c r="LVM3"/>
      <c r="LVN3"/>
      <c r="LVO3"/>
      <c r="LVP3"/>
      <c r="LVQ3"/>
      <c r="LVR3"/>
      <c r="LVS3"/>
      <c r="LVT3"/>
      <c r="LVU3"/>
      <c r="LVV3"/>
      <c r="LVW3"/>
      <c r="LVX3"/>
      <c r="LVY3"/>
      <c r="LVZ3"/>
      <c r="LWA3"/>
      <c r="LWB3"/>
      <c r="LWC3"/>
      <c r="LWD3"/>
      <c r="LWE3"/>
      <c r="LWF3"/>
      <c r="LWG3"/>
      <c r="LWH3"/>
      <c r="LWI3"/>
      <c r="LWJ3"/>
      <c r="LWK3"/>
      <c r="LWL3"/>
      <c r="LWM3"/>
      <c r="LWN3"/>
      <c r="LWO3"/>
      <c r="LWP3"/>
      <c r="LWQ3"/>
      <c r="LWR3"/>
      <c r="LWS3"/>
      <c r="LWT3"/>
      <c r="LWU3"/>
      <c r="LWV3"/>
      <c r="LWW3"/>
      <c r="LWX3"/>
      <c r="LWY3"/>
      <c r="LWZ3"/>
      <c r="LXA3"/>
      <c r="LXB3"/>
      <c r="LXC3"/>
      <c r="LXD3"/>
      <c r="LXE3"/>
      <c r="LXF3"/>
      <c r="LXG3"/>
      <c r="LXH3"/>
      <c r="LXI3"/>
      <c r="LXJ3"/>
      <c r="LXK3"/>
      <c r="LXL3"/>
      <c r="LXM3"/>
      <c r="LXN3"/>
      <c r="LXO3"/>
      <c r="LXP3"/>
      <c r="LXQ3"/>
      <c r="LXR3"/>
      <c r="LXS3"/>
      <c r="LXT3"/>
      <c r="LXU3"/>
      <c r="LXV3"/>
      <c r="LXW3"/>
      <c r="LXX3"/>
      <c r="LXY3"/>
      <c r="LXZ3"/>
      <c r="LYA3"/>
      <c r="LYB3"/>
      <c r="LYC3"/>
      <c r="LYD3"/>
      <c r="LYE3"/>
      <c r="LYF3"/>
      <c r="LYG3"/>
      <c r="LYH3"/>
      <c r="LYI3"/>
      <c r="LYJ3"/>
      <c r="LYK3"/>
      <c r="LYL3"/>
      <c r="LYM3"/>
      <c r="LYN3"/>
      <c r="LYO3"/>
      <c r="LYP3"/>
      <c r="LYQ3"/>
      <c r="LYR3"/>
      <c r="LYS3"/>
      <c r="LYT3"/>
      <c r="LYU3"/>
      <c r="LYV3"/>
      <c r="LYW3"/>
      <c r="LYX3"/>
      <c r="LYY3"/>
      <c r="LYZ3"/>
      <c r="LZA3"/>
      <c r="LZB3"/>
      <c r="LZC3"/>
      <c r="LZD3"/>
      <c r="LZE3"/>
      <c r="LZF3"/>
      <c r="LZG3"/>
      <c r="LZH3"/>
      <c r="LZI3"/>
      <c r="LZJ3"/>
      <c r="LZK3"/>
      <c r="LZL3"/>
      <c r="LZM3"/>
      <c r="LZN3"/>
      <c r="LZO3"/>
      <c r="LZP3"/>
      <c r="LZQ3"/>
      <c r="LZR3"/>
      <c r="LZS3"/>
      <c r="LZT3"/>
      <c r="LZU3"/>
      <c r="LZV3"/>
      <c r="LZW3"/>
      <c r="LZX3"/>
      <c r="LZY3"/>
      <c r="LZZ3"/>
      <c r="MAA3"/>
      <c r="MAB3"/>
      <c r="MAC3"/>
      <c r="MAD3"/>
      <c r="MAE3"/>
      <c r="MAF3"/>
      <c r="MAG3"/>
      <c r="MAH3"/>
      <c r="MAI3"/>
      <c r="MAJ3"/>
      <c r="MAK3"/>
      <c r="MAL3"/>
      <c r="MAM3"/>
      <c r="MAN3"/>
      <c r="MAO3"/>
      <c r="MAP3"/>
      <c r="MAQ3"/>
      <c r="MAR3"/>
      <c r="MAS3"/>
      <c r="MAT3"/>
      <c r="MAU3"/>
      <c r="MAV3"/>
      <c r="MAW3"/>
      <c r="MAX3"/>
      <c r="MAY3"/>
      <c r="MAZ3"/>
      <c r="MBA3"/>
      <c r="MBB3"/>
      <c r="MBC3"/>
      <c r="MBD3"/>
      <c r="MBE3"/>
      <c r="MBF3"/>
      <c r="MBG3"/>
      <c r="MBH3"/>
      <c r="MBI3"/>
      <c r="MBJ3"/>
      <c r="MBK3"/>
      <c r="MBL3"/>
      <c r="MBM3"/>
      <c r="MBN3"/>
      <c r="MBO3"/>
      <c r="MBP3"/>
      <c r="MBQ3"/>
      <c r="MBR3"/>
      <c r="MBS3"/>
      <c r="MBT3"/>
      <c r="MBU3"/>
      <c r="MBV3"/>
      <c r="MBW3"/>
      <c r="MBX3"/>
      <c r="MBY3"/>
      <c r="MBZ3"/>
      <c r="MCA3"/>
      <c r="MCB3"/>
      <c r="MCC3"/>
      <c r="MCD3"/>
      <c r="MCE3"/>
      <c r="MCF3"/>
      <c r="MCG3"/>
      <c r="MCH3"/>
      <c r="MCI3"/>
      <c r="MCJ3"/>
      <c r="MCK3"/>
      <c r="MCL3"/>
      <c r="MCM3"/>
      <c r="MCN3"/>
      <c r="MCO3"/>
      <c r="MCP3"/>
      <c r="MCQ3"/>
      <c r="MCR3"/>
      <c r="MCS3"/>
      <c r="MCT3"/>
      <c r="MCU3"/>
      <c r="MCV3"/>
      <c r="MCW3"/>
      <c r="MCX3"/>
      <c r="MCY3"/>
      <c r="MCZ3"/>
      <c r="MDA3"/>
      <c r="MDB3"/>
      <c r="MDC3"/>
      <c r="MDD3"/>
      <c r="MDE3"/>
      <c r="MDF3"/>
      <c r="MDG3"/>
      <c r="MDH3"/>
      <c r="MDI3"/>
      <c r="MDJ3"/>
      <c r="MDK3"/>
      <c r="MDL3"/>
      <c r="MDM3"/>
      <c r="MDN3"/>
      <c r="MDO3"/>
      <c r="MDP3"/>
      <c r="MDQ3"/>
      <c r="MDR3"/>
      <c r="MDS3"/>
      <c r="MDT3"/>
      <c r="MDU3"/>
      <c r="MDV3"/>
      <c r="MDW3"/>
      <c r="MDX3"/>
      <c r="MDY3"/>
      <c r="MDZ3"/>
      <c r="MEA3"/>
      <c r="MEB3"/>
      <c r="MEC3"/>
      <c r="MED3"/>
      <c r="MEE3"/>
      <c r="MEF3"/>
      <c r="MEG3"/>
      <c r="MEH3"/>
      <c r="MEI3"/>
      <c r="MEJ3"/>
      <c r="MEK3"/>
      <c r="MEL3"/>
      <c r="MEM3"/>
      <c r="MEN3"/>
      <c r="MEO3"/>
      <c r="MEP3"/>
      <c r="MEQ3"/>
      <c r="MER3"/>
      <c r="MES3"/>
      <c r="MET3"/>
      <c r="MEU3"/>
      <c r="MEV3"/>
      <c r="MEW3"/>
      <c r="MEX3"/>
      <c r="MEY3"/>
      <c r="MEZ3"/>
      <c r="MFA3"/>
      <c r="MFB3"/>
      <c r="MFC3"/>
      <c r="MFD3"/>
      <c r="MFE3"/>
      <c r="MFF3"/>
      <c r="MFG3"/>
      <c r="MFH3"/>
      <c r="MFI3"/>
      <c r="MFJ3"/>
      <c r="MFK3"/>
      <c r="MFL3"/>
      <c r="MFM3"/>
      <c r="MFN3"/>
      <c r="MFO3"/>
      <c r="MFP3"/>
      <c r="MFQ3"/>
      <c r="MFR3"/>
      <c r="MFS3"/>
      <c r="MFT3"/>
      <c r="MFU3"/>
      <c r="MFV3"/>
      <c r="MFW3"/>
      <c r="MFX3"/>
      <c r="MFY3"/>
      <c r="MFZ3"/>
      <c r="MGA3"/>
      <c r="MGB3"/>
      <c r="MGC3"/>
      <c r="MGD3"/>
      <c r="MGE3"/>
      <c r="MGF3"/>
      <c r="MGG3"/>
      <c r="MGH3"/>
      <c r="MGI3"/>
      <c r="MGJ3"/>
      <c r="MGK3"/>
      <c r="MGL3"/>
      <c r="MGM3"/>
      <c r="MGN3"/>
      <c r="MGO3"/>
      <c r="MGP3"/>
      <c r="MGQ3"/>
      <c r="MGR3"/>
      <c r="MGS3"/>
      <c r="MGT3"/>
      <c r="MGU3"/>
      <c r="MGV3"/>
      <c r="MGW3"/>
      <c r="MGX3"/>
      <c r="MGY3"/>
      <c r="MGZ3"/>
      <c r="MHA3"/>
      <c r="MHB3"/>
      <c r="MHC3"/>
      <c r="MHD3"/>
      <c r="MHE3"/>
      <c r="MHF3"/>
      <c r="MHG3"/>
      <c r="MHH3"/>
      <c r="MHI3"/>
      <c r="MHJ3"/>
      <c r="MHK3"/>
      <c r="MHL3"/>
      <c r="MHM3"/>
      <c r="MHN3"/>
      <c r="MHO3"/>
      <c r="MHP3"/>
      <c r="MHQ3"/>
      <c r="MHR3"/>
      <c r="MHS3"/>
      <c r="MHT3"/>
      <c r="MHU3"/>
      <c r="MHV3"/>
      <c r="MHW3"/>
      <c r="MHX3"/>
      <c r="MHY3"/>
      <c r="MHZ3"/>
      <c r="MIA3"/>
      <c r="MIB3"/>
      <c r="MIC3"/>
      <c r="MID3"/>
      <c r="MIE3"/>
      <c r="MIF3"/>
      <c r="MIG3"/>
      <c r="MIH3"/>
      <c r="MII3"/>
      <c r="MIJ3"/>
      <c r="MIK3"/>
      <c r="MIL3"/>
      <c r="MIM3"/>
      <c r="MIN3"/>
      <c r="MIO3"/>
      <c r="MIP3"/>
      <c r="MIQ3"/>
      <c r="MIR3"/>
      <c r="MIS3"/>
      <c r="MIT3"/>
      <c r="MIU3"/>
      <c r="MIV3"/>
      <c r="MIW3"/>
      <c r="MIX3"/>
      <c r="MIY3"/>
      <c r="MIZ3"/>
      <c r="MJA3"/>
      <c r="MJB3"/>
      <c r="MJC3"/>
      <c r="MJD3"/>
      <c r="MJE3"/>
      <c r="MJF3"/>
      <c r="MJG3"/>
      <c r="MJH3"/>
      <c r="MJI3"/>
      <c r="MJJ3"/>
      <c r="MJK3"/>
      <c r="MJL3"/>
      <c r="MJM3"/>
      <c r="MJN3"/>
      <c r="MJO3"/>
      <c r="MJP3"/>
      <c r="MJQ3"/>
      <c r="MJR3"/>
      <c r="MJS3"/>
      <c r="MJT3"/>
      <c r="MJU3"/>
      <c r="MJV3"/>
      <c r="MJW3"/>
      <c r="MJX3"/>
      <c r="MJY3"/>
      <c r="MJZ3"/>
      <c r="MKA3"/>
      <c r="MKB3"/>
      <c r="MKC3"/>
      <c r="MKD3"/>
      <c r="MKE3"/>
      <c r="MKF3"/>
      <c r="MKG3"/>
      <c r="MKH3"/>
      <c r="MKI3"/>
      <c r="MKJ3"/>
      <c r="MKK3"/>
      <c r="MKL3"/>
      <c r="MKM3"/>
      <c r="MKN3"/>
      <c r="MKO3"/>
      <c r="MKP3"/>
      <c r="MKQ3"/>
      <c r="MKR3"/>
      <c r="MKS3"/>
      <c r="MKT3"/>
      <c r="MKU3"/>
      <c r="MKV3"/>
      <c r="MKW3"/>
      <c r="MKX3"/>
      <c r="MKY3"/>
      <c r="MKZ3"/>
      <c r="MLA3"/>
      <c r="MLB3"/>
      <c r="MLC3"/>
      <c r="MLD3"/>
      <c r="MLE3"/>
      <c r="MLF3"/>
      <c r="MLG3"/>
      <c r="MLH3"/>
      <c r="MLI3"/>
      <c r="MLJ3"/>
      <c r="MLK3"/>
      <c r="MLL3"/>
      <c r="MLM3"/>
      <c r="MLN3"/>
      <c r="MLO3"/>
      <c r="MLP3"/>
      <c r="MLQ3"/>
      <c r="MLR3"/>
      <c r="MLS3"/>
      <c r="MLT3"/>
      <c r="MLU3"/>
      <c r="MLV3"/>
      <c r="MLW3"/>
      <c r="MLX3"/>
      <c r="MLY3"/>
      <c r="MLZ3"/>
      <c r="MMA3"/>
      <c r="MMB3"/>
      <c r="MMC3"/>
      <c r="MMD3"/>
      <c r="MME3"/>
      <c r="MMF3"/>
      <c r="MMG3"/>
      <c r="MMH3"/>
      <c r="MMI3"/>
      <c r="MMJ3"/>
      <c r="MMK3"/>
      <c r="MML3"/>
      <c r="MMM3"/>
      <c r="MMN3"/>
      <c r="MMO3"/>
      <c r="MMP3"/>
      <c r="MMQ3"/>
      <c r="MMR3"/>
      <c r="MMS3"/>
      <c r="MMT3"/>
      <c r="MMU3"/>
      <c r="MMV3"/>
      <c r="MMW3"/>
      <c r="MMX3"/>
      <c r="MMY3"/>
      <c r="MMZ3"/>
      <c r="MNA3"/>
      <c r="MNB3"/>
      <c r="MNC3"/>
      <c r="MND3"/>
      <c r="MNE3"/>
      <c r="MNF3"/>
      <c r="MNG3"/>
      <c r="MNH3"/>
      <c r="MNI3"/>
      <c r="MNJ3"/>
      <c r="MNK3"/>
      <c r="MNL3"/>
      <c r="MNM3"/>
      <c r="MNN3"/>
      <c r="MNO3"/>
      <c r="MNP3"/>
      <c r="MNQ3"/>
      <c r="MNR3"/>
      <c r="MNS3"/>
      <c r="MNT3"/>
      <c r="MNU3"/>
      <c r="MNV3"/>
      <c r="MNW3"/>
      <c r="MNX3"/>
      <c r="MNY3"/>
      <c r="MNZ3"/>
      <c r="MOA3"/>
      <c r="MOB3"/>
      <c r="MOC3"/>
      <c r="MOD3"/>
      <c r="MOE3"/>
      <c r="MOF3"/>
      <c r="MOG3"/>
      <c r="MOH3"/>
      <c r="MOI3"/>
      <c r="MOJ3"/>
      <c r="MOK3"/>
      <c r="MOL3"/>
      <c r="MOM3"/>
      <c r="MON3"/>
      <c r="MOO3"/>
      <c r="MOP3"/>
      <c r="MOQ3"/>
      <c r="MOR3"/>
      <c r="MOS3"/>
      <c r="MOT3"/>
      <c r="MOU3"/>
      <c r="MOV3"/>
      <c r="MOW3"/>
      <c r="MOX3"/>
      <c r="MOY3"/>
      <c r="MOZ3"/>
      <c r="MPA3"/>
      <c r="MPB3"/>
      <c r="MPC3"/>
      <c r="MPD3"/>
      <c r="MPE3"/>
      <c r="MPF3"/>
      <c r="MPG3"/>
      <c r="MPH3"/>
      <c r="MPI3"/>
      <c r="MPJ3"/>
      <c r="MPK3"/>
      <c r="MPL3"/>
      <c r="MPM3"/>
      <c r="MPN3"/>
      <c r="MPO3"/>
      <c r="MPP3"/>
      <c r="MPQ3"/>
      <c r="MPR3"/>
      <c r="MPS3"/>
      <c r="MPT3"/>
      <c r="MPU3"/>
      <c r="MPV3"/>
      <c r="MPW3"/>
      <c r="MPX3"/>
      <c r="MPY3"/>
      <c r="MPZ3"/>
      <c r="MQA3"/>
      <c r="MQB3"/>
      <c r="MQC3"/>
      <c r="MQD3"/>
      <c r="MQE3"/>
      <c r="MQF3"/>
      <c r="MQG3"/>
      <c r="MQH3"/>
      <c r="MQI3"/>
      <c r="MQJ3"/>
      <c r="MQK3"/>
      <c r="MQL3"/>
      <c r="MQM3"/>
      <c r="MQN3"/>
      <c r="MQO3"/>
      <c r="MQP3"/>
      <c r="MQQ3"/>
      <c r="MQR3"/>
      <c r="MQS3"/>
      <c r="MQT3"/>
      <c r="MQU3"/>
      <c r="MQV3"/>
      <c r="MQW3"/>
      <c r="MQX3"/>
      <c r="MQY3"/>
      <c r="MQZ3"/>
      <c r="MRA3"/>
      <c r="MRB3"/>
      <c r="MRC3"/>
      <c r="MRD3"/>
      <c r="MRE3"/>
      <c r="MRF3"/>
      <c r="MRG3"/>
      <c r="MRH3"/>
      <c r="MRI3"/>
      <c r="MRJ3"/>
      <c r="MRK3"/>
      <c r="MRL3"/>
      <c r="MRM3"/>
      <c r="MRN3"/>
      <c r="MRO3"/>
      <c r="MRP3"/>
      <c r="MRQ3"/>
      <c r="MRR3"/>
      <c r="MRS3"/>
      <c r="MRT3"/>
      <c r="MRU3"/>
      <c r="MRV3"/>
      <c r="MRW3"/>
      <c r="MRX3"/>
      <c r="MRY3"/>
      <c r="MRZ3"/>
      <c r="MSA3"/>
      <c r="MSB3"/>
      <c r="MSC3"/>
      <c r="MSD3"/>
      <c r="MSE3"/>
      <c r="MSF3"/>
      <c r="MSG3"/>
      <c r="MSH3"/>
      <c r="MSI3"/>
      <c r="MSJ3"/>
      <c r="MSK3"/>
      <c r="MSL3"/>
      <c r="MSM3"/>
      <c r="MSN3"/>
      <c r="MSO3"/>
      <c r="MSP3"/>
      <c r="MSQ3"/>
      <c r="MSR3"/>
      <c r="MSS3"/>
      <c r="MST3"/>
      <c r="MSU3"/>
      <c r="MSV3"/>
      <c r="MSW3"/>
      <c r="MSX3"/>
      <c r="MSY3"/>
      <c r="MSZ3"/>
      <c r="MTA3"/>
      <c r="MTB3"/>
      <c r="MTC3"/>
      <c r="MTD3"/>
      <c r="MTE3"/>
      <c r="MTF3"/>
      <c r="MTG3"/>
      <c r="MTH3"/>
      <c r="MTI3"/>
      <c r="MTJ3"/>
      <c r="MTK3"/>
      <c r="MTL3"/>
      <c r="MTM3"/>
      <c r="MTN3"/>
      <c r="MTO3"/>
      <c r="MTP3"/>
      <c r="MTQ3"/>
      <c r="MTR3"/>
      <c r="MTS3"/>
      <c r="MTT3"/>
      <c r="MTU3"/>
      <c r="MTV3"/>
      <c r="MTW3"/>
      <c r="MTX3"/>
      <c r="MTY3"/>
      <c r="MTZ3"/>
      <c r="MUA3"/>
      <c r="MUB3"/>
      <c r="MUC3"/>
      <c r="MUD3"/>
      <c r="MUE3"/>
      <c r="MUF3"/>
      <c r="MUG3"/>
      <c r="MUH3"/>
      <c r="MUI3"/>
      <c r="MUJ3"/>
      <c r="MUK3"/>
      <c r="MUL3"/>
      <c r="MUM3"/>
      <c r="MUN3"/>
      <c r="MUO3"/>
      <c r="MUP3"/>
      <c r="MUQ3"/>
      <c r="MUR3"/>
      <c r="MUS3"/>
      <c r="MUT3"/>
      <c r="MUU3"/>
      <c r="MUV3"/>
      <c r="MUW3"/>
      <c r="MUX3"/>
      <c r="MUY3"/>
      <c r="MUZ3"/>
      <c r="MVA3"/>
      <c r="MVB3"/>
      <c r="MVC3"/>
      <c r="MVD3"/>
      <c r="MVE3"/>
      <c r="MVF3"/>
      <c r="MVG3"/>
      <c r="MVH3"/>
      <c r="MVI3"/>
      <c r="MVJ3"/>
      <c r="MVK3"/>
      <c r="MVL3"/>
      <c r="MVM3"/>
      <c r="MVN3"/>
      <c r="MVO3"/>
      <c r="MVP3"/>
      <c r="MVQ3"/>
      <c r="MVR3"/>
      <c r="MVS3"/>
      <c r="MVT3"/>
      <c r="MVU3"/>
      <c r="MVV3"/>
      <c r="MVW3"/>
      <c r="MVX3"/>
      <c r="MVY3"/>
      <c r="MVZ3"/>
      <c r="MWA3"/>
      <c r="MWB3"/>
      <c r="MWC3"/>
      <c r="MWD3"/>
      <c r="MWE3"/>
      <c r="MWF3"/>
      <c r="MWG3"/>
      <c r="MWH3"/>
      <c r="MWI3"/>
      <c r="MWJ3"/>
      <c r="MWK3"/>
      <c r="MWL3"/>
      <c r="MWM3"/>
      <c r="MWN3"/>
      <c r="MWO3"/>
      <c r="MWP3"/>
      <c r="MWQ3"/>
      <c r="MWR3"/>
      <c r="MWS3"/>
      <c r="MWT3"/>
      <c r="MWU3"/>
      <c r="MWV3"/>
      <c r="MWW3"/>
      <c r="MWX3"/>
      <c r="MWY3"/>
      <c r="MWZ3"/>
      <c r="MXA3"/>
      <c r="MXB3"/>
      <c r="MXC3"/>
      <c r="MXD3"/>
      <c r="MXE3"/>
      <c r="MXF3"/>
      <c r="MXG3"/>
      <c r="MXH3"/>
      <c r="MXI3"/>
      <c r="MXJ3"/>
      <c r="MXK3"/>
      <c r="MXL3"/>
      <c r="MXM3"/>
      <c r="MXN3"/>
      <c r="MXO3"/>
      <c r="MXP3"/>
      <c r="MXQ3"/>
      <c r="MXR3"/>
      <c r="MXS3"/>
      <c r="MXT3"/>
      <c r="MXU3"/>
      <c r="MXV3"/>
      <c r="MXW3"/>
      <c r="MXX3"/>
      <c r="MXY3"/>
      <c r="MXZ3"/>
      <c r="MYA3"/>
      <c r="MYB3"/>
      <c r="MYC3"/>
      <c r="MYD3"/>
      <c r="MYE3"/>
      <c r="MYF3"/>
      <c r="MYG3"/>
      <c r="MYH3"/>
      <c r="MYI3"/>
      <c r="MYJ3"/>
      <c r="MYK3"/>
      <c r="MYL3"/>
      <c r="MYM3"/>
      <c r="MYN3"/>
      <c r="MYO3"/>
      <c r="MYP3"/>
      <c r="MYQ3"/>
      <c r="MYR3"/>
      <c r="MYS3"/>
      <c r="MYT3"/>
      <c r="MYU3"/>
      <c r="MYV3"/>
      <c r="MYW3"/>
      <c r="MYX3"/>
      <c r="MYY3"/>
      <c r="MYZ3"/>
      <c r="MZA3"/>
      <c r="MZB3"/>
      <c r="MZC3"/>
      <c r="MZD3"/>
      <c r="MZE3"/>
      <c r="MZF3"/>
      <c r="MZG3"/>
      <c r="MZH3"/>
      <c r="MZI3"/>
      <c r="MZJ3"/>
      <c r="MZK3"/>
      <c r="MZL3"/>
      <c r="MZM3"/>
      <c r="MZN3"/>
      <c r="MZO3"/>
      <c r="MZP3"/>
      <c r="MZQ3"/>
      <c r="MZR3"/>
      <c r="MZS3"/>
      <c r="MZT3"/>
      <c r="MZU3"/>
      <c r="MZV3"/>
      <c r="MZW3"/>
      <c r="MZX3"/>
      <c r="MZY3"/>
      <c r="MZZ3"/>
      <c r="NAA3"/>
      <c r="NAB3"/>
      <c r="NAC3"/>
      <c r="NAD3"/>
      <c r="NAE3"/>
      <c r="NAF3"/>
      <c r="NAG3"/>
      <c r="NAH3"/>
      <c r="NAI3"/>
      <c r="NAJ3"/>
      <c r="NAK3"/>
      <c r="NAL3"/>
      <c r="NAM3"/>
      <c r="NAN3"/>
      <c r="NAO3"/>
      <c r="NAP3"/>
      <c r="NAQ3"/>
      <c r="NAR3"/>
      <c r="NAS3"/>
      <c r="NAT3"/>
      <c r="NAU3"/>
      <c r="NAV3"/>
      <c r="NAW3"/>
      <c r="NAX3"/>
      <c r="NAY3"/>
      <c r="NAZ3"/>
      <c r="NBA3"/>
      <c r="NBB3"/>
      <c r="NBC3"/>
      <c r="NBD3"/>
      <c r="NBE3"/>
      <c r="NBF3"/>
      <c r="NBG3"/>
      <c r="NBH3"/>
      <c r="NBI3"/>
      <c r="NBJ3"/>
      <c r="NBK3"/>
      <c r="NBL3"/>
      <c r="NBM3"/>
      <c r="NBN3"/>
      <c r="NBO3"/>
      <c r="NBP3"/>
      <c r="NBQ3"/>
      <c r="NBR3"/>
      <c r="NBS3"/>
      <c r="NBT3"/>
      <c r="NBU3"/>
      <c r="NBV3"/>
      <c r="NBW3"/>
      <c r="NBX3"/>
      <c r="NBY3"/>
      <c r="NBZ3"/>
      <c r="NCA3"/>
      <c r="NCB3"/>
      <c r="NCC3"/>
      <c r="NCD3"/>
      <c r="NCE3"/>
      <c r="NCF3"/>
      <c r="NCG3"/>
      <c r="NCH3"/>
      <c r="NCI3"/>
      <c r="NCJ3"/>
      <c r="NCK3"/>
      <c r="NCL3"/>
      <c r="NCM3"/>
      <c r="NCN3"/>
      <c r="NCO3"/>
      <c r="NCP3"/>
      <c r="NCQ3"/>
      <c r="NCR3"/>
      <c r="NCS3"/>
      <c r="NCT3"/>
      <c r="NCU3"/>
      <c r="NCV3"/>
      <c r="NCW3"/>
      <c r="NCX3"/>
      <c r="NCY3"/>
      <c r="NCZ3"/>
      <c r="NDA3"/>
      <c r="NDB3"/>
      <c r="NDC3"/>
      <c r="NDD3"/>
      <c r="NDE3"/>
      <c r="NDF3"/>
      <c r="NDG3"/>
      <c r="NDH3"/>
      <c r="NDI3"/>
      <c r="NDJ3"/>
      <c r="NDK3"/>
      <c r="NDL3"/>
      <c r="NDM3"/>
      <c r="NDN3"/>
      <c r="NDO3"/>
      <c r="NDP3"/>
      <c r="NDQ3"/>
      <c r="NDR3"/>
      <c r="NDS3"/>
      <c r="NDT3"/>
      <c r="NDU3"/>
      <c r="NDV3"/>
      <c r="NDW3"/>
      <c r="NDX3"/>
      <c r="NDY3"/>
      <c r="NDZ3"/>
      <c r="NEA3"/>
      <c r="NEB3"/>
      <c r="NEC3"/>
      <c r="NED3"/>
      <c r="NEE3"/>
      <c r="NEF3"/>
      <c r="NEG3"/>
      <c r="NEH3"/>
      <c r="NEI3"/>
      <c r="NEJ3"/>
      <c r="NEK3"/>
      <c r="NEL3"/>
      <c r="NEM3"/>
      <c r="NEN3"/>
      <c r="NEO3"/>
      <c r="NEP3"/>
      <c r="NEQ3"/>
      <c r="NER3"/>
      <c r="NES3"/>
      <c r="NET3"/>
      <c r="NEU3"/>
      <c r="NEV3"/>
      <c r="NEW3"/>
      <c r="NEX3"/>
      <c r="NEY3"/>
      <c r="NEZ3"/>
      <c r="NFA3"/>
      <c r="NFB3"/>
      <c r="NFC3"/>
      <c r="NFD3"/>
      <c r="NFE3"/>
      <c r="NFF3"/>
      <c r="NFG3"/>
      <c r="NFH3"/>
      <c r="NFI3"/>
      <c r="NFJ3"/>
      <c r="NFK3"/>
      <c r="NFL3"/>
      <c r="NFM3"/>
      <c r="NFN3"/>
      <c r="NFO3"/>
      <c r="NFP3"/>
      <c r="NFQ3"/>
      <c r="NFR3"/>
      <c r="NFS3"/>
      <c r="NFT3"/>
      <c r="NFU3"/>
      <c r="NFV3"/>
      <c r="NFW3"/>
      <c r="NFX3"/>
      <c r="NFY3"/>
      <c r="NFZ3"/>
      <c r="NGA3"/>
      <c r="NGB3"/>
      <c r="NGC3"/>
      <c r="NGD3"/>
      <c r="NGE3"/>
      <c r="NGF3"/>
      <c r="NGG3"/>
      <c r="NGH3"/>
      <c r="NGI3"/>
      <c r="NGJ3"/>
      <c r="NGK3"/>
      <c r="NGL3"/>
      <c r="NGM3"/>
      <c r="NGN3"/>
      <c r="NGO3"/>
      <c r="NGP3"/>
      <c r="NGQ3"/>
      <c r="NGR3"/>
      <c r="NGS3"/>
      <c r="NGT3"/>
      <c r="NGU3"/>
      <c r="NGV3"/>
      <c r="NGW3"/>
      <c r="NGX3"/>
      <c r="NGY3"/>
      <c r="NGZ3"/>
      <c r="NHA3"/>
      <c r="NHB3"/>
      <c r="NHC3"/>
      <c r="NHD3"/>
      <c r="NHE3"/>
      <c r="NHF3"/>
      <c r="NHG3"/>
      <c r="NHH3"/>
      <c r="NHI3"/>
      <c r="NHJ3"/>
      <c r="NHK3"/>
      <c r="NHL3"/>
      <c r="NHM3"/>
      <c r="NHN3"/>
      <c r="NHO3"/>
      <c r="NHP3"/>
      <c r="NHQ3"/>
      <c r="NHR3"/>
      <c r="NHS3"/>
      <c r="NHT3"/>
      <c r="NHU3"/>
      <c r="NHV3"/>
      <c r="NHW3"/>
      <c r="NHX3"/>
      <c r="NHY3"/>
      <c r="NHZ3"/>
      <c r="NIA3"/>
      <c r="NIB3"/>
      <c r="NIC3"/>
      <c r="NID3"/>
      <c r="NIE3"/>
      <c r="NIF3"/>
      <c r="NIG3"/>
      <c r="NIH3"/>
      <c r="NII3"/>
      <c r="NIJ3"/>
      <c r="NIK3"/>
      <c r="NIL3"/>
      <c r="NIM3"/>
      <c r="NIN3"/>
      <c r="NIO3"/>
      <c r="NIP3"/>
      <c r="NIQ3"/>
      <c r="NIR3"/>
      <c r="NIS3"/>
      <c r="NIT3"/>
      <c r="NIU3"/>
      <c r="NIV3"/>
      <c r="NIW3"/>
      <c r="NIX3"/>
      <c r="NIY3"/>
      <c r="NIZ3"/>
      <c r="NJA3"/>
      <c r="NJB3"/>
      <c r="NJC3"/>
      <c r="NJD3"/>
      <c r="NJE3"/>
      <c r="NJF3"/>
      <c r="NJG3"/>
      <c r="NJH3"/>
      <c r="NJI3"/>
      <c r="NJJ3"/>
      <c r="NJK3"/>
      <c r="NJL3"/>
      <c r="NJM3"/>
      <c r="NJN3"/>
      <c r="NJO3"/>
      <c r="NJP3"/>
      <c r="NJQ3"/>
      <c r="NJR3"/>
      <c r="NJS3"/>
      <c r="NJT3"/>
      <c r="NJU3"/>
      <c r="NJV3"/>
      <c r="NJW3"/>
      <c r="NJX3"/>
      <c r="NJY3"/>
      <c r="NJZ3"/>
      <c r="NKA3"/>
      <c r="NKB3"/>
      <c r="NKC3"/>
      <c r="NKD3"/>
      <c r="NKE3"/>
      <c r="NKF3"/>
      <c r="NKG3"/>
      <c r="NKH3"/>
      <c r="NKI3"/>
      <c r="NKJ3"/>
      <c r="NKK3"/>
      <c r="NKL3"/>
      <c r="NKM3"/>
      <c r="NKN3"/>
      <c r="NKO3"/>
      <c r="NKP3"/>
      <c r="NKQ3"/>
      <c r="NKR3"/>
      <c r="NKS3"/>
      <c r="NKT3"/>
      <c r="NKU3"/>
      <c r="NKV3"/>
      <c r="NKW3"/>
      <c r="NKX3"/>
      <c r="NKY3"/>
      <c r="NKZ3"/>
      <c r="NLA3"/>
      <c r="NLB3"/>
      <c r="NLC3"/>
      <c r="NLD3"/>
      <c r="NLE3"/>
      <c r="NLF3"/>
      <c r="NLG3"/>
      <c r="NLH3"/>
      <c r="NLI3"/>
      <c r="NLJ3"/>
      <c r="NLK3"/>
      <c r="NLL3"/>
      <c r="NLM3"/>
      <c r="NLN3"/>
      <c r="NLO3"/>
      <c r="NLP3"/>
      <c r="NLQ3"/>
      <c r="NLR3"/>
      <c r="NLS3"/>
      <c r="NLT3"/>
      <c r="NLU3"/>
      <c r="NLV3"/>
      <c r="NLW3"/>
      <c r="NLX3"/>
      <c r="NLY3"/>
      <c r="NLZ3"/>
      <c r="NMA3"/>
      <c r="NMB3"/>
      <c r="NMC3"/>
      <c r="NMD3"/>
      <c r="NME3"/>
      <c r="NMF3"/>
      <c r="NMG3"/>
      <c r="NMH3"/>
      <c r="NMI3"/>
      <c r="NMJ3"/>
      <c r="NMK3"/>
      <c r="NML3"/>
      <c r="NMM3"/>
      <c r="NMN3"/>
      <c r="NMO3"/>
      <c r="NMP3"/>
      <c r="NMQ3"/>
      <c r="NMR3"/>
      <c r="NMS3"/>
      <c r="NMT3"/>
      <c r="NMU3"/>
      <c r="NMV3"/>
      <c r="NMW3"/>
      <c r="NMX3"/>
      <c r="NMY3"/>
      <c r="NMZ3"/>
      <c r="NNA3"/>
      <c r="NNB3"/>
      <c r="NNC3"/>
      <c r="NND3"/>
      <c r="NNE3"/>
      <c r="NNF3"/>
      <c r="NNG3"/>
      <c r="NNH3"/>
      <c r="NNI3"/>
      <c r="NNJ3"/>
      <c r="NNK3"/>
      <c r="NNL3"/>
      <c r="NNM3"/>
      <c r="NNN3"/>
      <c r="NNO3"/>
      <c r="NNP3"/>
      <c r="NNQ3"/>
      <c r="NNR3"/>
      <c r="NNS3"/>
      <c r="NNT3"/>
      <c r="NNU3"/>
      <c r="NNV3"/>
      <c r="NNW3"/>
      <c r="NNX3"/>
      <c r="NNY3"/>
      <c r="NNZ3"/>
      <c r="NOA3"/>
      <c r="NOB3"/>
      <c r="NOC3"/>
      <c r="NOD3"/>
      <c r="NOE3"/>
      <c r="NOF3"/>
      <c r="NOG3"/>
      <c r="NOH3"/>
      <c r="NOI3"/>
      <c r="NOJ3"/>
      <c r="NOK3"/>
      <c r="NOL3"/>
      <c r="NOM3"/>
      <c r="NON3"/>
      <c r="NOO3"/>
      <c r="NOP3"/>
      <c r="NOQ3"/>
      <c r="NOR3"/>
      <c r="NOS3"/>
      <c r="NOT3"/>
      <c r="NOU3"/>
      <c r="NOV3"/>
      <c r="NOW3"/>
      <c r="NOX3"/>
      <c r="NOY3"/>
      <c r="NOZ3"/>
      <c r="NPA3"/>
      <c r="NPB3"/>
      <c r="NPC3"/>
      <c r="NPD3"/>
      <c r="NPE3"/>
      <c r="NPF3"/>
      <c r="NPG3"/>
      <c r="NPH3"/>
      <c r="NPI3"/>
      <c r="NPJ3"/>
      <c r="NPK3"/>
      <c r="NPL3"/>
      <c r="NPM3"/>
      <c r="NPN3"/>
      <c r="NPO3"/>
      <c r="NPP3"/>
      <c r="NPQ3"/>
      <c r="NPR3"/>
      <c r="NPS3"/>
      <c r="NPT3"/>
      <c r="NPU3"/>
      <c r="NPV3"/>
      <c r="NPW3"/>
      <c r="NPX3"/>
      <c r="NPY3"/>
      <c r="NPZ3"/>
      <c r="NQA3"/>
      <c r="NQB3"/>
      <c r="NQC3"/>
      <c r="NQD3"/>
      <c r="NQE3"/>
      <c r="NQF3"/>
      <c r="NQG3"/>
      <c r="NQH3"/>
      <c r="NQI3"/>
      <c r="NQJ3"/>
      <c r="NQK3"/>
      <c r="NQL3"/>
      <c r="NQM3"/>
      <c r="NQN3"/>
      <c r="NQO3"/>
      <c r="NQP3"/>
      <c r="NQQ3"/>
      <c r="NQR3"/>
      <c r="NQS3"/>
      <c r="NQT3"/>
      <c r="NQU3"/>
      <c r="NQV3"/>
      <c r="NQW3"/>
      <c r="NQX3"/>
      <c r="NQY3"/>
      <c r="NQZ3"/>
      <c r="NRA3"/>
      <c r="NRB3"/>
      <c r="NRC3"/>
      <c r="NRD3"/>
      <c r="NRE3"/>
      <c r="NRF3"/>
      <c r="NRG3"/>
      <c r="NRH3"/>
      <c r="NRI3"/>
      <c r="NRJ3"/>
      <c r="NRK3"/>
      <c r="NRL3"/>
      <c r="NRM3"/>
      <c r="NRN3"/>
      <c r="NRO3"/>
      <c r="NRP3"/>
      <c r="NRQ3"/>
      <c r="NRR3"/>
      <c r="NRS3"/>
      <c r="NRT3"/>
      <c r="NRU3"/>
      <c r="NRV3"/>
      <c r="NRW3"/>
      <c r="NRX3"/>
      <c r="NRY3"/>
      <c r="NRZ3"/>
      <c r="NSA3"/>
      <c r="NSB3"/>
      <c r="NSC3"/>
      <c r="NSD3"/>
      <c r="NSE3"/>
      <c r="NSF3"/>
      <c r="NSG3"/>
      <c r="NSH3"/>
      <c r="NSI3"/>
      <c r="NSJ3"/>
      <c r="NSK3"/>
      <c r="NSL3"/>
      <c r="NSM3"/>
      <c r="NSN3"/>
      <c r="NSO3"/>
      <c r="NSP3"/>
      <c r="NSQ3"/>
      <c r="NSR3"/>
      <c r="NSS3"/>
      <c r="NST3"/>
      <c r="NSU3"/>
      <c r="NSV3"/>
      <c r="NSW3"/>
      <c r="NSX3"/>
      <c r="NSY3"/>
      <c r="NSZ3"/>
      <c r="NTA3"/>
      <c r="NTB3"/>
      <c r="NTC3"/>
      <c r="NTD3"/>
      <c r="NTE3"/>
      <c r="NTF3"/>
      <c r="NTG3"/>
      <c r="NTH3"/>
      <c r="NTI3"/>
      <c r="NTJ3"/>
      <c r="NTK3"/>
      <c r="NTL3"/>
      <c r="NTM3"/>
      <c r="NTN3"/>
      <c r="NTO3"/>
      <c r="NTP3"/>
      <c r="NTQ3"/>
      <c r="NTR3"/>
      <c r="NTS3"/>
      <c r="NTT3"/>
      <c r="NTU3"/>
      <c r="NTV3"/>
      <c r="NTW3"/>
      <c r="NTX3"/>
      <c r="NTY3"/>
      <c r="NTZ3"/>
      <c r="NUA3"/>
      <c r="NUB3"/>
      <c r="NUC3"/>
      <c r="NUD3"/>
      <c r="NUE3"/>
      <c r="NUF3"/>
      <c r="NUG3"/>
      <c r="NUH3"/>
      <c r="NUI3"/>
      <c r="NUJ3"/>
      <c r="NUK3"/>
      <c r="NUL3"/>
      <c r="NUM3"/>
      <c r="NUN3"/>
      <c r="NUO3"/>
      <c r="NUP3"/>
      <c r="NUQ3"/>
      <c r="NUR3"/>
      <c r="NUS3"/>
      <c r="NUT3"/>
      <c r="NUU3"/>
      <c r="NUV3"/>
      <c r="NUW3"/>
      <c r="NUX3"/>
      <c r="NUY3"/>
      <c r="NUZ3"/>
      <c r="NVA3"/>
      <c r="NVB3"/>
      <c r="NVC3"/>
      <c r="NVD3"/>
      <c r="NVE3"/>
      <c r="NVF3"/>
      <c r="NVG3"/>
      <c r="NVH3"/>
      <c r="NVI3"/>
      <c r="NVJ3"/>
      <c r="NVK3"/>
      <c r="NVL3"/>
      <c r="NVM3"/>
      <c r="NVN3"/>
      <c r="NVO3"/>
      <c r="NVP3"/>
      <c r="NVQ3"/>
      <c r="NVR3"/>
      <c r="NVS3"/>
      <c r="NVT3"/>
      <c r="NVU3"/>
      <c r="NVV3"/>
      <c r="NVW3"/>
      <c r="NVX3"/>
      <c r="NVY3"/>
      <c r="NVZ3"/>
      <c r="NWA3"/>
      <c r="NWB3"/>
      <c r="NWC3"/>
      <c r="NWD3"/>
      <c r="NWE3"/>
      <c r="NWF3"/>
      <c r="NWG3"/>
      <c r="NWH3"/>
      <c r="NWI3"/>
      <c r="NWJ3"/>
      <c r="NWK3"/>
      <c r="NWL3"/>
      <c r="NWM3"/>
      <c r="NWN3"/>
      <c r="NWO3"/>
      <c r="NWP3"/>
      <c r="NWQ3"/>
      <c r="NWR3"/>
      <c r="NWS3"/>
      <c r="NWT3"/>
      <c r="NWU3"/>
      <c r="NWV3"/>
      <c r="NWW3"/>
      <c r="NWX3"/>
      <c r="NWY3"/>
      <c r="NWZ3"/>
      <c r="NXA3"/>
      <c r="NXB3"/>
      <c r="NXC3"/>
      <c r="NXD3"/>
      <c r="NXE3"/>
      <c r="NXF3"/>
      <c r="NXG3"/>
      <c r="NXH3"/>
      <c r="NXI3"/>
      <c r="NXJ3"/>
      <c r="NXK3"/>
      <c r="NXL3"/>
      <c r="NXM3"/>
      <c r="NXN3"/>
      <c r="NXO3"/>
      <c r="NXP3"/>
      <c r="NXQ3"/>
      <c r="NXR3"/>
      <c r="NXS3"/>
      <c r="NXT3"/>
      <c r="NXU3"/>
      <c r="NXV3"/>
      <c r="NXW3"/>
      <c r="NXX3"/>
      <c r="NXY3"/>
      <c r="NXZ3"/>
      <c r="NYA3"/>
      <c r="NYB3"/>
      <c r="NYC3"/>
      <c r="NYD3"/>
      <c r="NYE3"/>
      <c r="NYF3"/>
      <c r="NYG3"/>
      <c r="NYH3"/>
      <c r="NYI3"/>
      <c r="NYJ3"/>
      <c r="NYK3"/>
      <c r="NYL3"/>
      <c r="NYM3"/>
      <c r="NYN3"/>
      <c r="NYO3"/>
      <c r="NYP3"/>
      <c r="NYQ3"/>
      <c r="NYR3"/>
      <c r="NYS3"/>
      <c r="NYT3"/>
      <c r="NYU3"/>
      <c r="NYV3"/>
      <c r="NYW3"/>
      <c r="NYX3"/>
      <c r="NYY3"/>
      <c r="NYZ3"/>
      <c r="NZA3"/>
      <c r="NZB3"/>
      <c r="NZC3"/>
      <c r="NZD3"/>
      <c r="NZE3"/>
      <c r="NZF3"/>
      <c r="NZG3"/>
      <c r="NZH3"/>
      <c r="NZI3"/>
      <c r="NZJ3"/>
      <c r="NZK3"/>
      <c r="NZL3"/>
      <c r="NZM3"/>
      <c r="NZN3"/>
      <c r="NZO3"/>
      <c r="NZP3"/>
      <c r="NZQ3"/>
      <c r="NZR3"/>
      <c r="NZS3"/>
      <c r="NZT3"/>
      <c r="NZU3"/>
      <c r="NZV3"/>
      <c r="NZW3"/>
      <c r="NZX3"/>
      <c r="NZY3"/>
      <c r="NZZ3"/>
      <c r="OAA3"/>
      <c r="OAB3"/>
      <c r="OAC3"/>
      <c r="OAD3"/>
      <c r="OAE3"/>
      <c r="OAF3"/>
      <c r="OAG3"/>
      <c r="OAH3"/>
      <c r="OAI3"/>
      <c r="OAJ3"/>
      <c r="OAK3"/>
      <c r="OAL3"/>
      <c r="OAM3"/>
      <c r="OAN3"/>
      <c r="OAO3"/>
      <c r="OAP3"/>
      <c r="OAQ3"/>
      <c r="OAR3"/>
      <c r="OAS3"/>
      <c r="OAT3"/>
      <c r="OAU3"/>
      <c r="OAV3"/>
      <c r="OAW3"/>
      <c r="OAX3"/>
      <c r="OAY3"/>
      <c r="OAZ3"/>
      <c r="OBA3"/>
      <c r="OBB3"/>
      <c r="OBC3"/>
      <c r="OBD3"/>
      <c r="OBE3"/>
      <c r="OBF3"/>
      <c r="OBG3"/>
      <c r="OBH3"/>
      <c r="OBI3"/>
      <c r="OBJ3"/>
      <c r="OBK3"/>
      <c r="OBL3"/>
      <c r="OBM3"/>
      <c r="OBN3"/>
      <c r="OBO3"/>
      <c r="OBP3"/>
      <c r="OBQ3"/>
      <c r="OBR3"/>
      <c r="OBS3"/>
      <c r="OBT3"/>
      <c r="OBU3"/>
      <c r="OBV3"/>
      <c r="OBW3"/>
      <c r="OBX3"/>
      <c r="OBY3"/>
      <c r="OBZ3"/>
      <c r="OCA3"/>
      <c r="OCB3"/>
      <c r="OCC3"/>
      <c r="OCD3"/>
      <c r="OCE3"/>
      <c r="OCF3"/>
      <c r="OCG3"/>
      <c r="OCH3"/>
      <c r="OCI3"/>
      <c r="OCJ3"/>
      <c r="OCK3"/>
      <c r="OCL3"/>
      <c r="OCM3"/>
      <c r="OCN3"/>
      <c r="OCO3"/>
      <c r="OCP3"/>
      <c r="OCQ3"/>
      <c r="OCR3"/>
      <c r="OCS3"/>
      <c r="OCT3"/>
      <c r="OCU3"/>
      <c r="OCV3"/>
      <c r="OCW3"/>
      <c r="OCX3"/>
      <c r="OCY3"/>
      <c r="OCZ3"/>
      <c r="ODA3"/>
      <c r="ODB3"/>
      <c r="ODC3"/>
      <c r="ODD3"/>
      <c r="ODE3"/>
      <c r="ODF3"/>
      <c r="ODG3"/>
      <c r="ODH3"/>
      <c r="ODI3"/>
      <c r="ODJ3"/>
      <c r="ODK3"/>
      <c r="ODL3"/>
      <c r="ODM3"/>
      <c r="ODN3"/>
      <c r="ODO3"/>
      <c r="ODP3"/>
      <c r="ODQ3"/>
      <c r="ODR3"/>
      <c r="ODS3"/>
      <c r="ODT3"/>
      <c r="ODU3"/>
      <c r="ODV3"/>
      <c r="ODW3"/>
      <c r="ODX3"/>
      <c r="ODY3"/>
      <c r="ODZ3"/>
      <c r="OEA3"/>
      <c r="OEB3"/>
      <c r="OEC3"/>
      <c r="OED3"/>
      <c r="OEE3"/>
      <c r="OEF3"/>
      <c r="OEG3"/>
      <c r="OEH3"/>
      <c r="OEI3"/>
      <c r="OEJ3"/>
      <c r="OEK3"/>
      <c r="OEL3"/>
      <c r="OEM3"/>
      <c r="OEN3"/>
      <c r="OEO3"/>
      <c r="OEP3"/>
      <c r="OEQ3"/>
      <c r="OER3"/>
      <c r="OES3"/>
      <c r="OET3"/>
      <c r="OEU3"/>
      <c r="OEV3"/>
      <c r="OEW3"/>
      <c r="OEX3"/>
      <c r="OEY3"/>
      <c r="OEZ3"/>
      <c r="OFA3"/>
      <c r="OFB3"/>
      <c r="OFC3"/>
      <c r="OFD3"/>
      <c r="OFE3"/>
      <c r="OFF3"/>
      <c r="OFG3"/>
      <c r="OFH3"/>
      <c r="OFI3"/>
      <c r="OFJ3"/>
      <c r="OFK3"/>
      <c r="OFL3"/>
      <c r="OFM3"/>
      <c r="OFN3"/>
      <c r="OFO3"/>
      <c r="OFP3"/>
      <c r="OFQ3"/>
      <c r="OFR3"/>
      <c r="OFS3"/>
      <c r="OFT3"/>
      <c r="OFU3"/>
      <c r="OFV3"/>
      <c r="OFW3"/>
      <c r="OFX3"/>
      <c r="OFY3"/>
      <c r="OFZ3"/>
      <c r="OGA3"/>
      <c r="OGB3"/>
      <c r="OGC3"/>
      <c r="OGD3"/>
      <c r="OGE3"/>
      <c r="OGF3"/>
      <c r="OGG3"/>
      <c r="OGH3"/>
      <c r="OGI3"/>
      <c r="OGJ3"/>
      <c r="OGK3"/>
      <c r="OGL3"/>
      <c r="OGM3"/>
      <c r="OGN3"/>
      <c r="OGO3"/>
      <c r="OGP3"/>
      <c r="OGQ3"/>
      <c r="OGR3"/>
      <c r="OGS3"/>
      <c r="OGT3"/>
      <c r="OGU3"/>
      <c r="OGV3"/>
      <c r="OGW3"/>
      <c r="OGX3"/>
      <c r="OGY3"/>
      <c r="OGZ3"/>
      <c r="OHA3"/>
      <c r="OHB3"/>
      <c r="OHC3"/>
      <c r="OHD3"/>
      <c r="OHE3"/>
      <c r="OHF3"/>
      <c r="OHG3"/>
      <c r="OHH3"/>
      <c r="OHI3"/>
      <c r="OHJ3"/>
      <c r="OHK3"/>
      <c r="OHL3"/>
      <c r="OHM3"/>
      <c r="OHN3"/>
      <c r="OHO3"/>
      <c r="OHP3"/>
      <c r="OHQ3"/>
      <c r="OHR3"/>
      <c r="OHS3"/>
      <c r="OHT3"/>
      <c r="OHU3"/>
      <c r="OHV3"/>
      <c r="OHW3"/>
      <c r="OHX3"/>
      <c r="OHY3"/>
      <c r="OHZ3"/>
      <c r="OIA3"/>
      <c r="OIB3"/>
      <c r="OIC3"/>
      <c r="OID3"/>
      <c r="OIE3"/>
      <c r="OIF3"/>
      <c r="OIG3"/>
      <c r="OIH3"/>
      <c r="OII3"/>
      <c r="OIJ3"/>
      <c r="OIK3"/>
      <c r="OIL3"/>
      <c r="OIM3"/>
      <c r="OIN3"/>
      <c r="OIO3"/>
      <c r="OIP3"/>
      <c r="OIQ3"/>
      <c r="OIR3"/>
      <c r="OIS3"/>
      <c r="OIT3"/>
      <c r="OIU3"/>
      <c r="OIV3"/>
      <c r="OIW3"/>
      <c r="OIX3"/>
      <c r="OIY3"/>
      <c r="OIZ3"/>
      <c r="OJA3"/>
      <c r="OJB3"/>
      <c r="OJC3"/>
      <c r="OJD3"/>
      <c r="OJE3"/>
      <c r="OJF3"/>
      <c r="OJG3"/>
      <c r="OJH3"/>
      <c r="OJI3"/>
      <c r="OJJ3"/>
      <c r="OJK3"/>
      <c r="OJL3"/>
      <c r="OJM3"/>
      <c r="OJN3"/>
      <c r="OJO3"/>
      <c r="OJP3"/>
      <c r="OJQ3"/>
      <c r="OJR3"/>
      <c r="OJS3"/>
      <c r="OJT3"/>
      <c r="OJU3"/>
      <c r="OJV3"/>
      <c r="OJW3"/>
      <c r="OJX3"/>
      <c r="OJY3"/>
      <c r="OJZ3"/>
      <c r="OKA3"/>
      <c r="OKB3"/>
      <c r="OKC3"/>
      <c r="OKD3"/>
      <c r="OKE3"/>
      <c r="OKF3"/>
      <c r="OKG3"/>
      <c r="OKH3"/>
      <c r="OKI3"/>
      <c r="OKJ3"/>
      <c r="OKK3"/>
      <c r="OKL3"/>
      <c r="OKM3"/>
      <c r="OKN3"/>
      <c r="OKO3"/>
      <c r="OKP3"/>
      <c r="OKQ3"/>
      <c r="OKR3"/>
      <c r="OKS3"/>
      <c r="OKT3"/>
      <c r="OKU3"/>
      <c r="OKV3"/>
      <c r="OKW3"/>
      <c r="OKX3"/>
      <c r="OKY3"/>
      <c r="OKZ3"/>
      <c r="OLA3"/>
      <c r="OLB3"/>
      <c r="OLC3"/>
      <c r="OLD3"/>
      <c r="OLE3"/>
      <c r="OLF3"/>
      <c r="OLG3"/>
      <c r="OLH3"/>
      <c r="OLI3"/>
      <c r="OLJ3"/>
      <c r="OLK3"/>
      <c r="OLL3"/>
      <c r="OLM3"/>
      <c r="OLN3"/>
      <c r="OLO3"/>
      <c r="OLP3"/>
      <c r="OLQ3"/>
      <c r="OLR3"/>
      <c r="OLS3"/>
      <c r="OLT3"/>
      <c r="OLU3"/>
      <c r="OLV3"/>
      <c r="OLW3"/>
      <c r="OLX3"/>
      <c r="OLY3"/>
      <c r="OLZ3"/>
      <c r="OMA3"/>
      <c r="OMB3"/>
      <c r="OMC3"/>
      <c r="OMD3"/>
      <c r="OME3"/>
      <c r="OMF3"/>
      <c r="OMG3"/>
      <c r="OMH3"/>
      <c r="OMI3"/>
      <c r="OMJ3"/>
      <c r="OMK3"/>
      <c r="OML3"/>
      <c r="OMM3"/>
      <c r="OMN3"/>
      <c r="OMO3"/>
      <c r="OMP3"/>
      <c r="OMQ3"/>
      <c r="OMR3"/>
      <c r="OMS3"/>
      <c r="OMT3"/>
      <c r="OMU3"/>
      <c r="OMV3"/>
      <c r="OMW3"/>
      <c r="OMX3"/>
      <c r="OMY3"/>
      <c r="OMZ3"/>
      <c r="ONA3"/>
      <c r="ONB3"/>
      <c r="ONC3"/>
      <c r="OND3"/>
      <c r="ONE3"/>
      <c r="ONF3"/>
      <c r="ONG3"/>
      <c r="ONH3"/>
      <c r="ONI3"/>
      <c r="ONJ3"/>
      <c r="ONK3"/>
      <c r="ONL3"/>
      <c r="ONM3"/>
      <c r="ONN3"/>
      <c r="ONO3"/>
      <c r="ONP3"/>
      <c r="ONQ3"/>
      <c r="ONR3"/>
      <c r="ONS3"/>
      <c r="ONT3"/>
      <c r="ONU3"/>
      <c r="ONV3"/>
      <c r="ONW3"/>
      <c r="ONX3"/>
      <c r="ONY3"/>
      <c r="ONZ3"/>
      <c r="OOA3"/>
      <c r="OOB3"/>
      <c r="OOC3"/>
      <c r="OOD3"/>
      <c r="OOE3"/>
      <c r="OOF3"/>
      <c r="OOG3"/>
      <c r="OOH3"/>
      <c r="OOI3"/>
      <c r="OOJ3"/>
      <c r="OOK3"/>
      <c r="OOL3"/>
      <c r="OOM3"/>
      <c r="OON3"/>
      <c r="OOO3"/>
      <c r="OOP3"/>
      <c r="OOQ3"/>
      <c r="OOR3"/>
      <c r="OOS3"/>
      <c r="OOT3"/>
      <c r="OOU3"/>
      <c r="OOV3"/>
      <c r="OOW3"/>
      <c r="OOX3"/>
      <c r="OOY3"/>
      <c r="OOZ3"/>
      <c r="OPA3"/>
      <c r="OPB3"/>
      <c r="OPC3"/>
      <c r="OPD3"/>
      <c r="OPE3"/>
      <c r="OPF3"/>
      <c r="OPG3"/>
      <c r="OPH3"/>
      <c r="OPI3"/>
      <c r="OPJ3"/>
      <c r="OPK3"/>
      <c r="OPL3"/>
      <c r="OPM3"/>
      <c r="OPN3"/>
      <c r="OPO3"/>
      <c r="OPP3"/>
      <c r="OPQ3"/>
      <c r="OPR3"/>
      <c r="OPS3"/>
      <c r="OPT3"/>
      <c r="OPU3"/>
      <c r="OPV3"/>
      <c r="OPW3"/>
      <c r="OPX3"/>
      <c r="OPY3"/>
      <c r="OPZ3"/>
      <c r="OQA3"/>
      <c r="OQB3"/>
      <c r="OQC3"/>
      <c r="OQD3"/>
      <c r="OQE3"/>
      <c r="OQF3"/>
      <c r="OQG3"/>
      <c r="OQH3"/>
      <c r="OQI3"/>
      <c r="OQJ3"/>
      <c r="OQK3"/>
      <c r="OQL3"/>
      <c r="OQM3"/>
      <c r="OQN3"/>
      <c r="OQO3"/>
      <c r="OQP3"/>
      <c r="OQQ3"/>
      <c r="OQR3"/>
      <c r="OQS3"/>
      <c r="OQT3"/>
      <c r="OQU3"/>
      <c r="OQV3"/>
      <c r="OQW3"/>
      <c r="OQX3"/>
      <c r="OQY3"/>
      <c r="OQZ3"/>
      <c r="ORA3"/>
      <c r="ORB3"/>
      <c r="ORC3"/>
      <c r="ORD3"/>
      <c r="ORE3"/>
      <c r="ORF3"/>
      <c r="ORG3"/>
      <c r="ORH3"/>
      <c r="ORI3"/>
      <c r="ORJ3"/>
      <c r="ORK3"/>
      <c r="ORL3"/>
      <c r="ORM3"/>
      <c r="ORN3"/>
      <c r="ORO3"/>
      <c r="ORP3"/>
      <c r="ORQ3"/>
      <c r="ORR3"/>
      <c r="ORS3"/>
      <c r="ORT3"/>
      <c r="ORU3"/>
      <c r="ORV3"/>
      <c r="ORW3"/>
      <c r="ORX3"/>
      <c r="ORY3"/>
      <c r="ORZ3"/>
      <c r="OSA3"/>
      <c r="OSB3"/>
      <c r="OSC3"/>
      <c r="OSD3"/>
      <c r="OSE3"/>
      <c r="OSF3"/>
      <c r="OSG3"/>
      <c r="OSH3"/>
      <c r="OSI3"/>
      <c r="OSJ3"/>
      <c r="OSK3"/>
      <c r="OSL3"/>
      <c r="OSM3"/>
      <c r="OSN3"/>
      <c r="OSO3"/>
      <c r="OSP3"/>
      <c r="OSQ3"/>
      <c r="OSR3"/>
      <c r="OSS3"/>
      <c r="OST3"/>
      <c r="OSU3"/>
      <c r="OSV3"/>
      <c r="OSW3"/>
      <c r="OSX3"/>
      <c r="OSY3"/>
      <c r="OSZ3"/>
      <c r="OTA3"/>
      <c r="OTB3"/>
      <c r="OTC3"/>
      <c r="OTD3"/>
      <c r="OTE3"/>
      <c r="OTF3"/>
      <c r="OTG3"/>
      <c r="OTH3"/>
      <c r="OTI3"/>
      <c r="OTJ3"/>
      <c r="OTK3"/>
      <c r="OTL3"/>
      <c r="OTM3"/>
      <c r="OTN3"/>
      <c r="OTO3"/>
      <c r="OTP3"/>
      <c r="OTQ3"/>
      <c r="OTR3"/>
      <c r="OTS3"/>
      <c r="OTT3"/>
      <c r="OTU3"/>
      <c r="OTV3"/>
      <c r="OTW3"/>
      <c r="OTX3"/>
      <c r="OTY3"/>
      <c r="OTZ3"/>
      <c r="OUA3"/>
      <c r="OUB3"/>
      <c r="OUC3"/>
      <c r="OUD3"/>
      <c r="OUE3"/>
      <c r="OUF3"/>
      <c r="OUG3"/>
      <c r="OUH3"/>
      <c r="OUI3"/>
      <c r="OUJ3"/>
      <c r="OUK3"/>
      <c r="OUL3"/>
      <c r="OUM3"/>
      <c r="OUN3"/>
      <c r="OUO3"/>
      <c r="OUP3"/>
      <c r="OUQ3"/>
      <c r="OUR3"/>
      <c r="OUS3"/>
      <c r="OUT3"/>
      <c r="OUU3"/>
      <c r="OUV3"/>
      <c r="OUW3"/>
      <c r="OUX3"/>
      <c r="OUY3"/>
      <c r="OUZ3"/>
      <c r="OVA3"/>
      <c r="OVB3"/>
      <c r="OVC3"/>
      <c r="OVD3"/>
      <c r="OVE3"/>
      <c r="OVF3"/>
      <c r="OVG3"/>
      <c r="OVH3"/>
      <c r="OVI3"/>
      <c r="OVJ3"/>
      <c r="OVK3"/>
      <c r="OVL3"/>
      <c r="OVM3"/>
      <c r="OVN3"/>
      <c r="OVO3"/>
      <c r="OVP3"/>
      <c r="OVQ3"/>
      <c r="OVR3"/>
      <c r="OVS3"/>
      <c r="OVT3"/>
      <c r="OVU3"/>
      <c r="OVV3"/>
      <c r="OVW3"/>
      <c r="OVX3"/>
      <c r="OVY3"/>
      <c r="OVZ3"/>
      <c r="OWA3"/>
      <c r="OWB3"/>
      <c r="OWC3"/>
      <c r="OWD3"/>
      <c r="OWE3"/>
      <c r="OWF3"/>
      <c r="OWG3"/>
      <c r="OWH3"/>
      <c r="OWI3"/>
      <c r="OWJ3"/>
      <c r="OWK3"/>
      <c r="OWL3"/>
      <c r="OWM3"/>
      <c r="OWN3"/>
      <c r="OWO3"/>
      <c r="OWP3"/>
      <c r="OWQ3"/>
      <c r="OWR3"/>
      <c r="OWS3"/>
      <c r="OWT3"/>
      <c r="OWU3"/>
      <c r="OWV3"/>
      <c r="OWW3"/>
      <c r="OWX3"/>
      <c r="OWY3"/>
      <c r="OWZ3"/>
      <c r="OXA3"/>
      <c r="OXB3"/>
      <c r="OXC3"/>
      <c r="OXD3"/>
      <c r="OXE3"/>
      <c r="OXF3"/>
      <c r="OXG3"/>
      <c r="OXH3"/>
      <c r="OXI3"/>
      <c r="OXJ3"/>
      <c r="OXK3"/>
      <c r="OXL3"/>
      <c r="OXM3"/>
      <c r="OXN3"/>
      <c r="OXO3"/>
      <c r="OXP3"/>
      <c r="OXQ3"/>
      <c r="OXR3"/>
      <c r="OXS3"/>
      <c r="OXT3"/>
      <c r="OXU3"/>
      <c r="OXV3"/>
      <c r="OXW3"/>
      <c r="OXX3"/>
      <c r="OXY3"/>
      <c r="OXZ3"/>
      <c r="OYA3"/>
      <c r="OYB3"/>
      <c r="OYC3"/>
      <c r="OYD3"/>
      <c r="OYE3"/>
      <c r="OYF3"/>
      <c r="OYG3"/>
      <c r="OYH3"/>
      <c r="OYI3"/>
      <c r="OYJ3"/>
      <c r="OYK3"/>
      <c r="OYL3"/>
      <c r="OYM3"/>
      <c r="OYN3"/>
      <c r="OYO3"/>
      <c r="OYP3"/>
      <c r="OYQ3"/>
      <c r="OYR3"/>
      <c r="OYS3"/>
      <c r="OYT3"/>
      <c r="OYU3"/>
      <c r="OYV3"/>
      <c r="OYW3"/>
      <c r="OYX3"/>
      <c r="OYY3"/>
      <c r="OYZ3"/>
      <c r="OZA3"/>
      <c r="OZB3"/>
      <c r="OZC3"/>
      <c r="OZD3"/>
      <c r="OZE3"/>
      <c r="OZF3"/>
      <c r="OZG3"/>
      <c r="OZH3"/>
      <c r="OZI3"/>
      <c r="OZJ3"/>
      <c r="OZK3"/>
      <c r="OZL3"/>
      <c r="OZM3"/>
      <c r="OZN3"/>
      <c r="OZO3"/>
      <c r="OZP3"/>
      <c r="OZQ3"/>
      <c r="OZR3"/>
      <c r="OZS3"/>
      <c r="OZT3"/>
      <c r="OZU3"/>
      <c r="OZV3"/>
      <c r="OZW3"/>
      <c r="OZX3"/>
      <c r="OZY3"/>
      <c r="OZZ3"/>
      <c r="PAA3"/>
      <c r="PAB3"/>
      <c r="PAC3"/>
      <c r="PAD3"/>
      <c r="PAE3"/>
      <c r="PAF3"/>
      <c r="PAG3"/>
      <c r="PAH3"/>
      <c r="PAI3"/>
      <c r="PAJ3"/>
      <c r="PAK3"/>
      <c r="PAL3"/>
      <c r="PAM3"/>
      <c r="PAN3"/>
      <c r="PAO3"/>
      <c r="PAP3"/>
      <c r="PAQ3"/>
      <c r="PAR3"/>
      <c r="PAS3"/>
      <c r="PAT3"/>
      <c r="PAU3"/>
      <c r="PAV3"/>
      <c r="PAW3"/>
      <c r="PAX3"/>
      <c r="PAY3"/>
      <c r="PAZ3"/>
      <c r="PBA3"/>
      <c r="PBB3"/>
      <c r="PBC3"/>
      <c r="PBD3"/>
      <c r="PBE3"/>
      <c r="PBF3"/>
      <c r="PBG3"/>
      <c r="PBH3"/>
      <c r="PBI3"/>
      <c r="PBJ3"/>
      <c r="PBK3"/>
      <c r="PBL3"/>
      <c r="PBM3"/>
      <c r="PBN3"/>
      <c r="PBO3"/>
      <c r="PBP3"/>
      <c r="PBQ3"/>
      <c r="PBR3"/>
      <c r="PBS3"/>
      <c r="PBT3"/>
      <c r="PBU3"/>
      <c r="PBV3"/>
      <c r="PBW3"/>
      <c r="PBX3"/>
      <c r="PBY3"/>
      <c r="PBZ3"/>
      <c r="PCA3"/>
      <c r="PCB3"/>
      <c r="PCC3"/>
      <c r="PCD3"/>
      <c r="PCE3"/>
      <c r="PCF3"/>
      <c r="PCG3"/>
      <c r="PCH3"/>
      <c r="PCI3"/>
      <c r="PCJ3"/>
      <c r="PCK3"/>
      <c r="PCL3"/>
      <c r="PCM3"/>
      <c r="PCN3"/>
      <c r="PCO3"/>
      <c r="PCP3"/>
      <c r="PCQ3"/>
      <c r="PCR3"/>
      <c r="PCS3"/>
      <c r="PCT3"/>
      <c r="PCU3"/>
      <c r="PCV3"/>
      <c r="PCW3"/>
      <c r="PCX3"/>
      <c r="PCY3"/>
      <c r="PCZ3"/>
      <c r="PDA3"/>
      <c r="PDB3"/>
      <c r="PDC3"/>
      <c r="PDD3"/>
      <c r="PDE3"/>
      <c r="PDF3"/>
      <c r="PDG3"/>
      <c r="PDH3"/>
      <c r="PDI3"/>
      <c r="PDJ3"/>
      <c r="PDK3"/>
      <c r="PDL3"/>
      <c r="PDM3"/>
      <c r="PDN3"/>
      <c r="PDO3"/>
      <c r="PDP3"/>
      <c r="PDQ3"/>
      <c r="PDR3"/>
      <c r="PDS3"/>
      <c r="PDT3"/>
      <c r="PDU3"/>
      <c r="PDV3"/>
      <c r="PDW3"/>
      <c r="PDX3"/>
      <c r="PDY3"/>
      <c r="PDZ3"/>
      <c r="PEA3"/>
      <c r="PEB3"/>
      <c r="PEC3"/>
      <c r="PED3"/>
      <c r="PEE3"/>
      <c r="PEF3"/>
      <c r="PEG3"/>
      <c r="PEH3"/>
      <c r="PEI3"/>
      <c r="PEJ3"/>
      <c r="PEK3"/>
      <c r="PEL3"/>
      <c r="PEM3"/>
      <c r="PEN3"/>
      <c r="PEO3"/>
      <c r="PEP3"/>
      <c r="PEQ3"/>
      <c r="PER3"/>
      <c r="PES3"/>
      <c r="PET3"/>
      <c r="PEU3"/>
      <c r="PEV3"/>
      <c r="PEW3"/>
      <c r="PEX3"/>
      <c r="PEY3"/>
      <c r="PEZ3"/>
      <c r="PFA3"/>
      <c r="PFB3"/>
      <c r="PFC3"/>
      <c r="PFD3"/>
      <c r="PFE3"/>
      <c r="PFF3"/>
      <c r="PFG3"/>
      <c r="PFH3"/>
      <c r="PFI3"/>
      <c r="PFJ3"/>
      <c r="PFK3"/>
      <c r="PFL3"/>
      <c r="PFM3"/>
      <c r="PFN3"/>
      <c r="PFO3"/>
      <c r="PFP3"/>
      <c r="PFQ3"/>
      <c r="PFR3"/>
      <c r="PFS3"/>
      <c r="PFT3"/>
      <c r="PFU3"/>
      <c r="PFV3"/>
      <c r="PFW3"/>
      <c r="PFX3"/>
      <c r="PFY3"/>
      <c r="PFZ3"/>
      <c r="PGA3"/>
      <c r="PGB3"/>
      <c r="PGC3"/>
      <c r="PGD3"/>
      <c r="PGE3"/>
      <c r="PGF3"/>
      <c r="PGG3"/>
      <c r="PGH3"/>
      <c r="PGI3"/>
      <c r="PGJ3"/>
      <c r="PGK3"/>
      <c r="PGL3"/>
      <c r="PGM3"/>
      <c r="PGN3"/>
      <c r="PGO3"/>
      <c r="PGP3"/>
      <c r="PGQ3"/>
      <c r="PGR3"/>
      <c r="PGS3"/>
      <c r="PGT3"/>
      <c r="PGU3"/>
      <c r="PGV3"/>
      <c r="PGW3"/>
      <c r="PGX3"/>
      <c r="PGY3"/>
      <c r="PGZ3"/>
      <c r="PHA3"/>
      <c r="PHB3"/>
      <c r="PHC3"/>
      <c r="PHD3"/>
      <c r="PHE3"/>
      <c r="PHF3"/>
      <c r="PHG3"/>
      <c r="PHH3"/>
      <c r="PHI3"/>
      <c r="PHJ3"/>
      <c r="PHK3"/>
      <c r="PHL3"/>
      <c r="PHM3"/>
      <c r="PHN3"/>
      <c r="PHO3"/>
      <c r="PHP3"/>
      <c r="PHQ3"/>
      <c r="PHR3"/>
      <c r="PHS3"/>
      <c r="PHT3"/>
      <c r="PHU3"/>
      <c r="PHV3"/>
      <c r="PHW3"/>
      <c r="PHX3"/>
      <c r="PHY3"/>
      <c r="PHZ3"/>
      <c r="PIA3"/>
      <c r="PIB3"/>
      <c r="PIC3"/>
      <c r="PID3"/>
      <c r="PIE3"/>
      <c r="PIF3"/>
      <c r="PIG3"/>
      <c r="PIH3"/>
      <c r="PII3"/>
      <c r="PIJ3"/>
      <c r="PIK3"/>
      <c r="PIL3"/>
      <c r="PIM3"/>
      <c r="PIN3"/>
      <c r="PIO3"/>
      <c r="PIP3"/>
      <c r="PIQ3"/>
      <c r="PIR3"/>
      <c r="PIS3"/>
      <c r="PIT3"/>
      <c r="PIU3"/>
      <c r="PIV3"/>
      <c r="PIW3"/>
      <c r="PIX3"/>
      <c r="PIY3"/>
      <c r="PIZ3"/>
      <c r="PJA3"/>
      <c r="PJB3"/>
      <c r="PJC3"/>
      <c r="PJD3"/>
      <c r="PJE3"/>
      <c r="PJF3"/>
      <c r="PJG3"/>
      <c r="PJH3"/>
      <c r="PJI3"/>
      <c r="PJJ3"/>
      <c r="PJK3"/>
      <c r="PJL3"/>
      <c r="PJM3"/>
      <c r="PJN3"/>
      <c r="PJO3"/>
      <c r="PJP3"/>
      <c r="PJQ3"/>
      <c r="PJR3"/>
      <c r="PJS3"/>
      <c r="PJT3"/>
      <c r="PJU3"/>
      <c r="PJV3"/>
      <c r="PJW3"/>
      <c r="PJX3"/>
      <c r="PJY3"/>
      <c r="PJZ3"/>
      <c r="PKA3"/>
      <c r="PKB3"/>
      <c r="PKC3"/>
      <c r="PKD3"/>
      <c r="PKE3"/>
      <c r="PKF3"/>
      <c r="PKG3"/>
      <c r="PKH3"/>
      <c r="PKI3"/>
      <c r="PKJ3"/>
      <c r="PKK3"/>
      <c r="PKL3"/>
      <c r="PKM3"/>
      <c r="PKN3"/>
      <c r="PKO3"/>
      <c r="PKP3"/>
      <c r="PKQ3"/>
      <c r="PKR3"/>
      <c r="PKS3"/>
      <c r="PKT3"/>
      <c r="PKU3"/>
      <c r="PKV3"/>
      <c r="PKW3"/>
      <c r="PKX3"/>
      <c r="PKY3"/>
      <c r="PKZ3"/>
      <c r="PLA3"/>
      <c r="PLB3"/>
      <c r="PLC3"/>
      <c r="PLD3"/>
      <c r="PLE3"/>
      <c r="PLF3"/>
      <c r="PLG3"/>
      <c r="PLH3"/>
      <c r="PLI3"/>
      <c r="PLJ3"/>
      <c r="PLK3"/>
      <c r="PLL3"/>
      <c r="PLM3"/>
      <c r="PLN3"/>
      <c r="PLO3"/>
      <c r="PLP3"/>
      <c r="PLQ3"/>
      <c r="PLR3"/>
      <c r="PLS3"/>
      <c r="PLT3"/>
      <c r="PLU3"/>
      <c r="PLV3"/>
      <c r="PLW3"/>
      <c r="PLX3"/>
      <c r="PLY3"/>
      <c r="PLZ3"/>
      <c r="PMA3"/>
      <c r="PMB3"/>
      <c r="PMC3"/>
      <c r="PMD3"/>
      <c r="PME3"/>
      <c r="PMF3"/>
      <c r="PMG3"/>
      <c r="PMH3"/>
      <c r="PMI3"/>
      <c r="PMJ3"/>
      <c r="PMK3"/>
      <c r="PML3"/>
      <c r="PMM3"/>
      <c r="PMN3"/>
      <c r="PMO3"/>
      <c r="PMP3"/>
      <c r="PMQ3"/>
      <c r="PMR3"/>
      <c r="PMS3"/>
      <c r="PMT3"/>
      <c r="PMU3"/>
      <c r="PMV3"/>
      <c r="PMW3"/>
      <c r="PMX3"/>
      <c r="PMY3"/>
      <c r="PMZ3"/>
      <c r="PNA3"/>
      <c r="PNB3"/>
      <c r="PNC3"/>
      <c r="PND3"/>
      <c r="PNE3"/>
      <c r="PNF3"/>
      <c r="PNG3"/>
      <c r="PNH3"/>
      <c r="PNI3"/>
      <c r="PNJ3"/>
      <c r="PNK3"/>
      <c r="PNL3"/>
      <c r="PNM3"/>
      <c r="PNN3"/>
      <c r="PNO3"/>
      <c r="PNP3"/>
      <c r="PNQ3"/>
      <c r="PNR3"/>
      <c r="PNS3"/>
      <c r="PNT3"/>
      <c r="PNU3"/>
      <c r="PNV3"/>
      <c r="PNW3"/>
      <c r="PNX3"/>
      <c r="PNY3"/>
      <c r="PNZ3"/>
      <c r="POA3"/>
      <c r="POB3"/>
      <c r="POC3"/>
      <c r="POD3"/>
      <c r="POE3"/>
      <c r="POF3"/>
      <c r="POG3"/>
      <c r="POH3"/>
      <c r="POI3"/>
      <c r="POJ3"/>
      <c r="POK3"/>
      <c r="POL3"/>
      <c r="POM3"/>
      <c r="PON3"/>
      <c r="POO3"/>
      <c r="POP3"/>
      <c r="POQ3"/>
      <c r="POR3"/>
      <c r="POS3"/>
      <c r="POT3"/>
      <c r="POU3"/>
      <c r="POV3"/>
      <c r="POW3"/>
      <c r="POX3"/>
      <c r="POY3"/>
      <c r="POZ3"/>
      <c r="PPA3"/>
      <c r="PPB3"/>
      <c r="PPC3"/>
      <c r="PPD3"/>
      <c r="PPE3"/>
      <c r="PPF3"/>
      <c r="PPG3"/>
      <c r="PPH3"/>
      <c r="PPI3"/>
      <c r="PPJ3"/>
      <c r="PPK3"/>
      <c r="PPL3"/>
      <c r="PPM3"/>
      <c r="PPN3"/>
      <c r="PPO3"/>
      <c r="PPP3"/>
      <c r="PPQ3"/>
      <c r="PPR3"/>
      <c r="PPS3"/>
      <c r="PPT3"/>
      <c r="PPU3"/>
      <c r="PPV3"/>
      <c r="PPW3"/>
      <c r="PPX3"/>
      <c r="PPY3"/>
      <c r="PPZ3"/>
      <c r="PQA3"/>
      <c r="PQB3"/>
      <c r="PQC3"/>
      <c r="PQD3"/>
      <c r="PQE3"/>
      <c r="PQF3"/>
      <c r="PQG3"/>
      <c r="PQH3"/>
      <c r="PQI3"/>
      <c r="PQJ3"/>
      <c r="PQK3"/>
      <c r="PQL3"/>
      <c r="PQM3"/>
      <c r="PQN3"/>
      <c r="PQO3"/>
      <c r="PQP3"/>
      <c r="PQQ3"/>
      <c r="PQR3"/>
      <c r="PQS3"/>
      <c r="PQT3"/>
      <c r="PQU3"/>
      <c r="PQV3"/>
      <c r="PQW3"/>
      <c r="PQX3"/>
      <c r="PQY3"/>
      <c r="PQZ3"/>
      <c r="PRA3"/>
      <c r="PRB3"/>
      <c r="PRC3"/>
      <c r="PRD3"/>
      <c r="PRE3"/>
      <c r="PRF3"/>
      <c r="PRG3"/>
      <c r="PRH3"/>
      <c r="PRI3"/>
      <c r="PRJ3"/>
      <c r="PRK3"/>
      <c r="PRL3"/>
      <c r="PRM3"/>
      <c r="PRN3"/>
      <c r="PRO3"/>
      <c r="PRP3"/>
      <c r="PRQ3"/>
      <c r="PRR3"/>
      <c r="PRS3"/>
      <c r="PRT3"/>
      <c r="PRU3"/>
      <c r="PRV3"/>
      <c r="PRW3"/>
      <c r="PRX3"/>
      <c r="PRY3"/>
      <c r="PRZ3"/>
      <c r="PSA3"/>
      <c r="PSB3"/>
      <c r="PSC3"/>
      <c r="PSD3"/>
      <c r="PSE3"/>
      <c r="PSF3"/>
      <c r="PSG3"/>
      <c r="PSH3"/>
      <c r="PSI3"/>
      <c r="PSJ3"/>
      <c r="PSK3"/>
      <c r="PSL3"/>
      <c r="PSM3"/>
      <c r="PSN3"/>
      <c r="PSO3"/>
      <c r="PSP3"/>
      <c r="PSQ3"/>
      <c r="PSR3"/>
      <c r="PSS3"/>
      <c r="PST3"/>
      <c r="PSU3"/>
      <c r="PSV3"/>
      <c r="PSW3"/>
      <c r="PSX3"/>
      <c r="PSY3"/>
      <c r="PSZ3"/>
      <c r="PTA3"/>
      <c r="PTB3"/>
      <c r="PTC3"/>
      <c r="PTD3"/>
      <c r="PTE3"/>
      <c r="PTF3"/>
      <c r="PTG3"/>
      <c r="PTH3"/>
      <c r="PTI3"/>
      <c r="PTJ3"/>
      <c r="PTK3"/>
      <c r="PTL3"/>
      <c r="PTM3"/>
      <c r="PTN3"/>
      <c r="PTO3"/>
      <c r="PTP3"/>
      <c r="PTQ3"/>
      <c r="PTR3"/>
      <c r="PTS3"/>
      <c r="PTT3"/>
      <c r="PTU3"/>
      <c r="PTV3"/>
      <c r="PTW3"/>
      <c r="PTX3"/>
      <c r="PTY3"/>
      <c r="PTZ3"/>
      <c r="PUA3"/>
      <c r="PUB3"/>
      <c r="PUC3"/>
      <c r="PUD3"/>
      <c r="PUE3"/>
      <c r="PUF3"/>
      <c r="PUG3"/>
      <c r="PUH3"/>
      <c r="PUI3"/>
      <c r="PUJ3"/>
      <c r="PUK3"/>
      <c r="PUL3"/>
      <c r="PUM3"/>
      <c r="PUN3"/>
      <c r="PUO3"/>
      <c r="PUP3"/>
      <c r="PUQ3"/>
      <c r="PUR3"/>
      <c r="PUS3"/>
      <c r="PUT3"/>
      <c r="PUU3"/>
      <c r="PUV3"/>
      <c r="PUW3"/>
      <c r="PUX3"/>
      <c r="PUY3"/>
      <c r="PUZ3"/>
      <c r="PVA3"/>
      <c r="PVB3"/>
      <c r="PVC3"/>
      <c r="PVD3"/>
      <c r="PVE3"/>
      <c r="PVF3"/>
      <c r="PVG3"/>
      <c r="PVH3"/>
      <c r="PVI3"/>
      <c r="PVJ3"/>
      <c r="PVK3"/>
      <c r="PVL3"/>
      <c r="PVM3"/>
      <c r="PVN3"/>
      <c r="PVO3"/>
      <c r="PVP3"/>
      <c r="PVQ3"/>
      <c r="PVR3"/>
      <c r="PVS3"/>
      <c r="PVT3"/>
      <c r="PVU3"/>
      <c r="PVV3"/>
      <c r="PVW3"/>
      <c r="PVX3"/>
      <c r="PVY3"/>
      <c r="PVZ3"/>
      <c r="PWA3"/>
      <c r="PWB3"/>
      <c r="PWC3"/>
      <c r="PWD3"/>
      <c r="PWE3"/>
      <c r="PWF3"/>
      <c r="PWG3"/>
      <c r="PWH3"/>
      <c r="PWI3"/>
      <c r="PWJ3"/>
      <c r="PWK3"/>
      <c r="PWL3"/>
      <c r="PWM3"/>
      <c r="PWN3"/>
      <c r="PWO3"/>
      <c r="PWP3"/>
      <c r="PWQ3"/>
      <c r="PWR3"/>
      <c r="PWS3"/>
      <c r="PWT3"/>
      <c r="PWU3"/>
      <c r="PWV3"/>
      <c r="PWW3"/>
      <c r="PWX3"/>
      <c r="PWY3"/>
      <c r="PWZ3"/>
      <c r="PXA3"/>
      <c r="PXB3"/>
      <c r="PXC3"/>
      <c r="PXD3"/>
      <c r="PXE3"/>
      <c r="PXF3"/>
      <c r="PXG3"/>
      <c r="PXH3"/>
      <c r="PXI3"/>
      <c r="PXJ3"/>
      <c r="PXK3"/>
      <c r="PXL3"/>
      <c r="PXM3"/>
      <c r="PXN3"/>
      <c r="PXO3"/>
      <c r="PXP3"/>
      <c r="PXQ3"/>
      <c r="PXR3"/>
      <c r="PXS3"/>
      <c r="PXT3"/>
      <c r="PXU3"/>
      <c r="PXV3"/>
      <c r="PXW3"/>
      <c r="PXX3"/>
      <c r="PXY3"/>
      <c r="PXZ3"/>
      <c r="PYA3"/>
      <c r="PYB3"/>
      <c r="PYC3"/>
      <c r="PYD3"/>
      <c r="PYE3"/>
      <c r="PYF3"/>
      <c r="PYG3"/>
      <c r="PYH3"/>
      <c r="PYI3"/>
      <c r="PYJ3"/>
      <c r="PYK3"/>
      <c r="PYL3"/>
      <c r="PYM3"/>
      <c r="PYN3"/>
      <c r="PYO3"/>
      <c r="PYP3"/>
      <c r="PYQ3"/>
      <c r="PYR3"/>
      <c r="PYS3"/>
      <c r="PYT3"/>
      <c r="PYU3"/>
      <c r="PYV3"/>
      <c r="PYW3"/>
      <c r="PYX3"/>
      <c r="PYY3"/>
      <c r="PYZ3"/>
      <c r="PZA3"/>
      <c r="PZB3"/>
      <c r="PZC3"/>
      <c r="PZD3"/>
      <c r="PZE3"/>
      <c r="PZF3"/>
      <c r="PZG3"/>
      <c r="PZH3"/>
      <c r="PZI3"/>
      <c r="PZJ3"/>
      <c r="PZK3"/>
      <c r="PZL3"/>
      <c r="PZM3"/>
      <c r="PZN3"/>
      <c r="PZO3"/>
      <c r="PZP3"/>
      <c r="PZQ3"/>
      <c r="PZR3"/>
      <c r="PZS3"/>
      <c r="PZT3"/>
      <c r="PZU3"/>
      <c r="PZV3"/>
      <c r="PZW3"/>
      <c r="PZX3"/>
      <c r="PZY3"/>
      <c r="PZZ3"/>
      <c r="QAA3"/>
      <c r="QAB3"/>
      <c r="QAC3"/>
      <c r="QAD3"/>
      <c r="QAE3"/>
      <c r="QAF3"/>
      <c r="QAG3"/>
      <c r="QAH3"/>
      <c r="QAI3"/>
      <c r="QAJ3"/>
      <c r="QAK3"/>
      <c r="QAL3"/>
      <c r="QAM3"/>
      <c r="QAN3"/>
      <c r="QAO3"/>
      <c r="QAP3"/>
      <c r="QAQ3"/>
      <c r="QAR3"/>
      <c r="QAS3"/>
      <c r="QAT3"/>
      <c r="QAU3"/>
      <c r="QAV3"/>
      <c r="QAW3"/>
      <c r="QAX3"/>
      <c r="QAY3"/>
      <c r="QAZ3"/>
      <c r="QBA3"/>
      <c r="QBB3"/>
      <c r="QBC3"/>
      <c r="QBD3"/>
      <c r="QBE3"/>
      <c r="QBF3"/>
      <c r="QBG3"/>
      <c r="QBH3"/>
      <c r="QBI3"/>
      <c r="QBJ3"/>
      <c r="QBK3"/>
      <c r="QBL3"/>
      <c r="QBM3"/>
      <c r="QBN3"/>
      <c r="QBO3"/>
      <c r="QBP3"/>
      <c r="QBQ3"/>
      <c r="QBR3"/>
      <c r="QBS3"/>
      <c r="QBT3"/>
      <c r="QBU3"/>
      <c r="QBV3"/>
      <c r="QBW3"/>
      <c r="QBX3"/>
      <c r="QBY3"/>
      <c r="QBZ3"/>
      <c r="QCA3"/>
      <c r="QCB3"/>
      <c r="QCC3"/>
      <c r="QCD3"/>
      <c r="QCE3"/>
      <c r="QCF3"/>
      <c r="QCG3"/>
      <c r="QCH3"/>
      <c r="QCI3"/>
      <c r="QCJ3"/>
      <c r="QCK3"/>
      <c r="QCL3"/>
      <c r="QCM3"/>
      <c r="QCN3"/>
      <c r="QCO3"/>
      <c r="QCP3"/>
      <c r="QCQ3"/>
      <c r="QCR3"/>
      <c r="QCS3"/>
      <c r="QCT3"/>
      <c r="QCU3"/>
      <c r="QCV3"/>
      <c r="QCW3"/>
      <c r="QCX3"/>
      <c r="QCY3"/>
      <c r="QCZ3"/>
      <c r="QDA3"/>
      <c r="QDB3"/>
      <c r="QDC3"/>
      <c r="QDD3"/>
      <c r="QDE3"/>
      <c r="QDF3"/>
      <c r="QDG3"/>
      <c r="QDH3"/>
      <c r="QDI3"/>
      <c r="QDJ3"/>
      <c r="QDK3"/>
      <c r="QDL3"/>
      <c r="QDM3"/>
      <c r="QDN3"/>
      <c r="QDO3"/>
      <c r="QDP3"/>
      <c r="QDQ3"/>
      <c r="QDR3"/>
      <c r="QDS3"/>
      <c r="QDT3"/>
      <c r="QDU3"/>
      <c r="QDV3"/>
      <c r="QDW3"/>
      <c r="QDX3"/>
      <c r="QDY3"/>
      <c r="QDZ3"/>
      <c r="QEA3"/>
      <c r="QEB3"/>
      <c r="QEC3"/>
      <c r="QED3"/>
      <c r="QEE3"/>
      <c r="QEF3"/>
      <c r="QEG3"/>
      <c r="QEH3"/>
      <c r="QEI3"/>
      <c r="QEJ3"/>
      <c r="QEK3"/>
      <c r="QEL3"/>
      <c r="QEM3"/>
      <c r="QEN3"/>
      <c r="QEO3"/>
      <c r="QEP3"/>
      <c r="QEQ3"/>
      <c r="QER3"/>
      <c r="QES3"/>
      <c r="QET3"/>
      <c r="QEU3"/>
      <c r="QEV3"/>
      <c r="QEW3"/>
      <c r="QEX3"/>
      <c r="QEY3"/>
      <c r="QEZ3"/>
      <c r="QFA3"/>
      <c r="QFB3"/>
      <c r="QFC3"/>
      <c r="QFD3"/>
      <c r="QFE3"/>
      <c r="QFF3"/>
      <c r="QFG3"/>
      <c r="QFH3"/>
      <c r="QFI3"/>
      <c r="QFJ3"/>
      <c r="QFK3"/>
      <c r="QFL3"/>
      <c r="QFM3"/>
      <c r="QFN3"/>
      <c r="QFO3"/>
      <c r="QFP3"/>
      <c r="QFQ3"/>
      <c r="QFR3"/>
      <c r="QFS3"/>
      <c r="QFT3"/>
      <c r="QFU3"/>
      <c r="QFV3"/>
      <c r="QFW3"/>
      <c r="QFX3"/>
      <c r="QFY3"/>
      <c r="QFZ3"/>
      <c r="QGA3"/>
      <c r="QGB3"/>
      <c r="QGC3"/>
      <c r="QGD3"/>
      <c r="QGE3"/>
      <c r="QGF3"/>
      <c r="QGG3"/>
      <c r="QGH3"/>
      <c r="QGI3"/>
      <c r="QGJ3"/>
      <c r="QGK3"/>
      <c r="QGL3"/>
      <c r="QGM3"/>
      <c r="QGN3"/>
      <c r="QGO3"/>
      <c r="QGP3"/>
      <c r="QGQ3"/>
      <c r="QGR3"/>
      <c r="QGS3"/>
      <c r="QGT3"/>
      <c r="QGU3"/>
      <c r="QGV3"/>
      <c r="QGW3"/>
      <c r="QGX3"/>
      <c r="QGY3"/>
      <c r="QGZ3"/>
      <c r="QHA3"/>
      <c r="QHB3"/>
      <c r="QHC3"/>
      <c r="QHD3"/>
      <c r="QHE3"/>
      <c r="QHF3"/>
      <c r="QHG3"/>
      <c r="QHH3"/>
      <c r="QHI3"/>
      <c r="QHJ3"/>
      <c r="QHK3"/>
      <c r="QHL3"/>
      <c r="QHM3"/>
      <c r="QHN3"/>
      <c r="QHO3"/>
      <c r="QHP3"/>
      <c r="QHQ3"/>
      <c r="QHR3"/>
      <c r="QHS3"/>
      <c r="QHT3"/>
      <c r="QHU3"/>
      <c r="QHV3"/>
      <c r="QHW3"/>
      <c r="QHX3"/>
      <c r="QHY3"/>
      <c r="QHZ3"/>
      <c r="QIA3"/>
      <c r="QIB3"/>
      <c r="QIC3"/>
      <c r="QID3"/>
      <c r="QIE3"/>
      <c r="QIF3"/>
      <c r="QIG3"/>
      <c r="QIH3"/>
      <c r="QII3"/>
      <c r="QIJ3"/>
      <c r="QIK3"/>
      <c r="QIL3"/>
      <c r="QIM3"/>
      <c r="QIN3"/>
      <c r="QIO3"/>
      <c r="QIP3"/>
      <c r="QIQ3"/>
      <c r="QIR3"/>
      <c r="QIS3"/>
      <c r="QIT3"/>
      <c r="QIU3"/>
      <c r="QIV3"/>
      <c r="QIW3"/>
      <c r="QIX3"/>
      <c r="QIY3"/>
      <c r="QIZ3"/>
      <c r="QJA3"/>
      <c r="QJB3"/>
      <c r="QJC3"/>
      <c r="QJD3"/>
      <c r="QJE3"/>
      <c r="QJF3"/>
      <c r="QJG3"/>
      <c r="QJH3"/>
      <c r="QJI3"/>
      <c r="QJJ3"/>
      <c r="QJK3"/>
      <c r="QJL3"/>
      <c r="QJM3"/>
      <c r="QJN3"/>
      <c r="QJO3"/>
      <c r="QJP3"/>
      <c r="QJQ3"/>
      <c r="QJR3"/>
      <c r="QJS3"/>
      <c r="QJT3"/>
      <c r="QJU3"/>
      <c r="QJV3"/>
      <c r="QJW3"/>
      <c r="QJX3"/>
      <c r="QJY3"/>
      <c r="QJZ3"/>
      <c r="QKA3"/>
      <c r="QKB3"/>
      <c r="QKC3"/>
      <c r="QKD3"/>
      <c r="QKE3"/>
      <c r="QKF3"/>
      <c r="QKG3"/>
      <c r="QKH3"/>
      <c r="QKI3"/>
      <c r="QKJ3"/>
      <c r="QKK3"/>
      <c r="QKL3"/>
      <c r="QKM3"/>
      <c r="QKN3"/>
      <c r="QKO3"/>
      <c r="QKP3"/>
      <c r="QKQ3"/>
      <c r="QKR3"/>
      <c r="QKS3"/>
      <c r="QKT3"/>
      <c r="QKU3"/>
      <c r="QKV3"/>
      <c r="QKW3"/>
      <c r="QKX3"/>
      <c r="QKY3"/>
      <c r="QKZ3"/>
      <c r="QLA3"/>
      <c r="QLB3"/>
      <c r="QLC3"/>
      <c r="QLD3"/>
      <c r="QLE3"/>
      <c r="QLF3"/>
      <c r="QLG3"/>
      <c r="QLH3"/>
      <c r="QLI3"/>
      <c r="QLJ3"/>
      <c r="QLK3"/>
      <c r="QLL3"/>
      <c r="QLM3"/>
      <c r="QLN3"/>
      <c r="QLO3"/>
      <c r="QLP3"/>
      <c r="QLQ3"/>
      <c r="QLR3"/>
      <c r="QLS3"/>
      <c r="QLT3"/>
      <c r="QLU3"/>
      <c r="QLV3"/>
      <c r="QLW3"/>
      <c r="QLX3"/>
      <c r="QLY3"/>
      <c r="QLZ3"/>
      <c r="QMA3"/>
      <c r="QMB3"/>
      <c r="QMC3"/>
      <c r="QMD3"/>
      <c r="QME3"/>
      <c r="QMF3"/>
      <c r="QMG3"/>
      <c r="QMH3"/>
      <c r="QMI3"/>
      <c r="QMJ3"/>
      <c r="QMK3"/>
      <c r="QML3"/>
      <c r="QMM3"/>
      <c r="QMN3"/>
      <c r="QMO3"/>
      <c r="QMP3"/>
      <c r="QMQ3"/>
      <c r="QMR3"/>
      <c r="QMS3"/>
      <c r="QMT3"/>
      <c r="QMU3"/>
      <c r="QMV3"/>
      <c r="QMW3"/>
      <c r="QMX3"/>
      <c r="QMY3"/>
      <c r="QMZ3"/>
      <c r="QNA3"/>
      <c r="QNB3"/>
      <c r="QNC3"/>
      <c r="QND3"/>
      <c r="QNE3"/>
      <c r="QNF3"/>
      <c r="QNG3"/>
      <c r="QNH3"/>
      <c r="QNI3"/>
      <c r="QNJ3"/>
      <c r="QNK3"/>
      <c r="QNL3"/>
      <c r="QNM3"/>
      <c r="QNN3"/>
      <c r="QNO3"/>
      <c r="QNP3"/>
      <c r="QNQ3"/>
      <c r="QNR3"/>
      <c r="QNS3"/>
      <c r="QNT3"/>
      <c r="QNU3"/>
      <c r="QNV3"/>
      <c r="QNW3"/>
      <c r="QNX3"/>
      <c r="QNY3"/>
      <c r="QNZ3"/>
      <c r="QOA3"/>
      <c r="QOB3"/>
      <c r="QOC3"/>
      <c r="QOD3"/>
      <c r="QOE3"/>
      <c r="QOF3"/>
      <c r="QOG3"/>
      <c r="QOH3"/>
      <c r="QOI3"/>
      <c r="QOJ3"/>
      <c r="QOK3"/>
      <c r="QOL3"/>
      <c r="QOM3"/>
      <c r="QON3"/>
      <c r="QOO3"/>
      <c r="QOP3"/>
      <c r="QOQ3"/>
      <c r="QOR3"/>
      <c r="QOS3"/>
      <c r="QOT3"/>
      <c r="QOU3"/>
      <c r="QOV3"/>
      <c r="QOW3"/>
      <c r="QOX3"/>
      <c r="QOY3"/>
      <c r="QOZ3"/>
      <c r="QPA3"/>
      <c r="QPB3"/>
      <c r="QPC3"/>
      <c r="QPD3"/>
      <c r="QPE3"/>
      <c r="QPF3"/>
      <c r="QPG3"/>
      <c r="QPH3"/>
      <c r="QPI3"/>
      <c r="QPJ3"/>
      <c r="QPK3"/>
      <c r="QPL3"/>
      <c r="QPM3"/>
      <c r="QPN3"/>
      <c r="QPO3"/>
      <c r="QPP3"/>
      <c r="QPQ3"/>
      <c r="QPR3"/>
      <c r="QPS3"/>
      <c r="QPT3"/>
      <c r="QPU3"/>
      <c r="QPV3"/>
      <c r="QPW3"/>
      <c r="QPX3"/>
      <c r="QPY3"/>
      <c r="QPZ3"/>
      <c r="QQA3"/>
      <c r="QQB3"/>
      <c r="QQC3"/>
      <c r="QQD3"/>
      <c r="QQE3"/>
      <c r="QQF3"/>
      <c r="QQG3"/>
      <c r="QQH3"/>
      <c r="QQI3"/>
      <c r="QQJ3"/>
      <c r="QQK3"/>
      <c r="QQL3"/>
      <c r="QQM3"/>
      <c r="QQN3"/>
      <c r="QQO3"/>
      <c r="QQP3"/>
      <c r="QQQ3"/>
      <c r="QQR3"/>
      <c r="QQS3"/>
      <c r="QQT3"/>
      <c r="QQU3"/>
      <c r="QQV3"/>
      <c r="QQW3"/>
      <c r="QQX3"/>
      <c r="QQY3"/>
      <c r="QQZ3"/>
      <c r="QRA3"/>
      <c r="QRB3"/>
      <c r="QRC3"/>
      <c r="QRD3"/>
      <c r="QRE3"/>
      <c r="QRF3"/>
      <c r="QRG3"/>
      <c r="QRH3"/>
      <c r="QRI3"/>
      <c r="QRJ3"/>
      <c r="QRK3"/>
      <c r="QRL3"/>
      <c r="QRM3"/>
      <c r="QRN3"/>
      <c r="QRO3"/>
      <c r="QRP3"/>
      <c r="QRQ3"/>
      <c r="QRR3"/>
      <c r="QRS3"/>
      <c r="QRT3"/>
      <c r="QRU3"/>
      <c r="QRV3"/>
      <c r="QRW3"/>
      <c r="QRX3"/>
      <c r="QRY3"/>
      <c r="QRZ3"/>
      <c r="QSA3"/>
      <c r="QSB3"/>
      <c r="QSC3"/>
      <c r="QSD3"/>
      <c r="QSE3"/>
      <c r="QSF3"/>
      <c r="QSG3"/>
      <c r="QSH3"/>
      <c r="QSI3"/>
      <c r="QSJ3"/>
      <c r="QSK3"/>
      <c r="QSL3"/>
      <c r="QSM3"/>
      <c r="QSN3"/>
      <c r="QSO3"/>
      <c r="QSP3"/>
      <c r="QSQ3"/>
      <c r="QSR3"/>
      <c r="QSS3"/>
      <c r="QST3"/>
      <c r="QSU3"/>
      <c r="QSV3"/>
      <c r="QSW3"/>
      <c r="QSX3"/>
      <c r="QSY3"/>
      <c r="QSZ3"/>
      <c r="QTA3"/>
      <c r="QTB3"/>
      <c r="QTC3"/>
      <c r="QTD3"/>
      <c r="QTE3"/>
      <c r="QTF3"/>
      <c r="QTG3"/>
      <c r="QTH3"/>
      <c r="QTI3"/>
      <c r="QTJ3"/>
      <c r="QTK3"/>
      <c r="QTL3"/>
      <c r="QTM3"/>
      <c r="QTN3"/>
      <c r="QTO3"/>
      <c r="QTP3"/>
      <c r="QTQ3"/>
      <c r="QTR3"/>
      <c r="QTS3"/>
      <c r="QTT3"/>
      <c r="QTU3"/>
      <c r="QTV3"/>
      <c r="QTW3"/>
      <c r="QTX3"/>
      <c r="QTY3"/>
      <c r="QTZ3"/>
      <c r="QUA3"/>
      <c r="QUB3"/>
      <c r="QUC3"/>
      <c r="QUD3"/>
      <c r="QUE3"/>
      <c r="QUF3"/>
      <c r="QUG3"/>
      <c r="QUH3"/>
      <c r="QUI3"/>
      <c r="QUJ3"/>
      <c r="QUK3"/>
      <c r="QUL3"/>
      <c r="QUM3"/>
      <c r="QUN3"/>
      <c r="QUO3"/>
      <c r="QUP3"/>
      <c r="QUQ3"/>
      <c r="QUR3"/>
      <c r="QUS3"/>
      <c r="QUT3"/>
      <c r="QUU3"/>
      <c r="QUV3"/>
      <c r="QUW3"/>
      <c r="QUX3"/>
      <c r="QUY3"/>
      <c r="QUZ3"/>
      <c r="QVA3"/>
      <c r="QVB3"/>
      <c r="QVC3"/>
      <c r="QVD3"/>
      <c r="QVE3"/>
      <c r="QVF3"/>
      <c r="QVG3"/>
      <c r="QVH3"/>
      <c r="QVI3"/>
      <c r="QVJ3"/>
      <c r="QVK3"/>
      <c r="QVL3"/>
      <c r="QVM3"/>
      <c r="QVN3"/>
      <c r="QVO3"/>
      <c r="QVP3"/>
      <c r="QVQ3"/>
      <c r="QVR3"/>
      <c r="QVS3"/>
      <c r="QVT3"/>
      <c r="QVU3"/>
      <c r="QVV3"/>
      <c r="QVW3"/>
      <c r="QVX3"/>
      <c r="QVY3"/>
      <c r="QVZ3"/>
      <c r="QWA3"/>
      <c r="QWB3"/>
      <c r="QWC3"/>
      <c r="QWD3"/>
      <c r="QWE3"/>
      <c r="QWF3"/>
      <c r="QWG3"/>
      <c r="QWH3"/>
      <c r="QWI3"/>
      <c r="QWJ3"/>
      <c r="QWK3"/>
      <c r="QWL3"/>
      <c r="QWM3"/>
      <c r="QWN3"/>
      <c r="QWO3"/>
      <c r="QWP3"/>
      <c r="QWQ3"/>
      <c r="QWR3"/>
      <c r="QWS3"/>
      <c r="QWT3"/>
      <c r="QWU3"/>
      <c r="QWV3"/>
      <c r="QWW3"/>
      <c r="QWX3"/>
      <c r="QWY3"/>
      <c r="QWZ3"/>
      <c r="QXA3"/>
      <c r="QXB3"/>
      <c r="QXC3"/>
      <c r="QXD3"/>
      <c r="QXE3"/>
      <c r="QXF3"/>
      <c r="QXG3"/>
      <c r="QXH3"/>
      <c r="QXI3"/>
      <c r="QXJ3"/>
      <c r="QXK3"/>
      <c r="QXL3"/>
      <c r="QXM3"/>
      <c r="QXN3"/>
      <c r="QXO3"/>
      <c r="QXP3"/>
      <c r="QXQ3"/>
      <c r="QXR3"/>
      <c r="QXS3"/>
      <c r="QXT3"/>
      <c r="QXU3"/>
      <c r="QXV3"/>
      <c r="QXW3"/>
      <c r="QXX3"/>
      <c r="QXY3"/>
      <c r="QXZ3"/>
      <c r="QYA3"/>
      <c r="QYB3"/>
      <c r="QYC3"/>
      <c r="QYD3"/>
      <c r="QYE3"/>
      <c r="QYF3"/>
      <c r="QYG3"/>
      <c r="QYH3"/>
      <c r="QYI3"/>
      <c r="QYJ3"/>
      <c r="QYK3"/>
      <c r="QYL3"/>
      <c r="QYM3"/>
      <c r="QYN3"/>
      <c r="QYO3"/>
      <c r="QYP3"/>
      <c r="QYQ3"/>
      <c r="QYR3"/>
      <c r="QYS3"/>
      <c r="QYT3"/>
      <c r="QYU3"/>
      <c r="QYV3"/>
      <c r="QYW3"/>
      <c r="QYX3"/>
      <c r="QYY3"/>
      <c r="QYZ3"/>
      <c r="QZA3"/>
      <c r="QZB3"/>
      <c r="QZC3"/>
      <c r="QZD3"/>
      <c r="QZE3"/>
      <c r="QZF3"/>
      <c r="QZG3"/>
      <c r="QZH3"/>
      <c r="QZI3"/>
      <c r="QZJ3"/>
      <c r="QZK3"/>
      <c r="QZL3"/>
      <c r="QZM3"/>
      <c r="QZN3"/>
      <c r="QZO3"/>
      <c r="QZP3"/>
      <c r="QZQ3"/>
      <c r="QZR3"/>
      <c r="QZS3"/>
      <c r="QZT3"/>
      <c r="QZU3"/>
      <c r="QZV3"/>
      <c r="QZW3"/>
      <c r="QZX3"/>
      <c r="QZY3"/>
      <c r="QZZ3"/>
      <c r="RAA3"/>
      <c r="RAB3"/>
      <c r="RAC3"/>
      <c r="RAD3"/>
      <c r="RAE3"/>
      <c r="RAF3"/>
      <c r="RAG3"/>
      <c r="RAH3"/>
      <c r="RAI3"/>
      <c r="RAJ3"/>
      <c r="RAK3"/>
      <c r="RAL3"/>
      <c r="RAM3"/>
      <c r="RAN3"/>
      <c r="RAO3"/>
      <c r="RAP3"/>
      <c r="RAQ3"/>
      <c r="RAR3"/>
      <c r="RAS3"/>
      <c r="RAT3"/>
      <c r="RAU3"/>
      <c r="RAV3"/>
      <c r="RAW3"/>
      <c r="RAX3"/>
      <c r="RAY3"/>
      <c r="RAZ3"/>
      <c r="RBA3"/>
      <c r="RBB3"/>
      <c r="RBC3"/>
      <c r="RBD3"/>
      <c r="RBE3"/>
      <c r="RBF3"/>
      <c r="RBG3"/>
      <c r="RBH3"/>
      <c r="RBI3"/>
      <c r="RBJ3"/>
      <c r="RBK3"/>
      <c r="RBL3"/>
      <c r="RBM3"/>
      <c r="RBN3"/>
      <c r="RBO3"/>
      <c r="RBP3"/>
      <c r="RBQ3"/>
      <c r="RBR3"/>
      <c r="RBS3"/>
      <c r="RBT3"/>
      <c r="RBU3"/>
      <c r="RBV3"/>
      <c r="RBW3"/>
      <c r="RBX3"/>
      <c r="RBY3"/>
      <c r="RBZ3"/>
      <c r="RCA3"/>
      <c r="RCB3"/>
      <c r="RCC3"/>
      <c r="RCD3"/>
      <c r="RCE3"/>
      <c r="RCF3"/>
      <c r="RCG3"/>
      <c r="RCH3"/>
      <c r="RCI3"/>
      <c r="RCJ3"/>
      <c r="RCK3"/>
      <c r="RCL3"/>
      <c r="RCM3"/>
      <c r="RCN3"/>
      <c r="RCO3"/>
      <c r="RCP3"/>
      <c r="RCQ3"/>
      <c r="RCR3"/>
      <c r="RCS3"/>
      <c r="RCT3"/>
      <c r="RCU3"/>
      <c r="RCV3"/>
      <c r="RCW3"/>
      <c r="RCX3"/>
      <c r="RCY3"/>
      <c r="RCZ3"/>
      <c r="RDA3"/>
      <c r="RDB3"/>
      <c r="RDC3"/>
      <c r="RDD3"/>
      <c r="RDE3"/>
      <c r="RDF3"/>
      <c r="RDG3"/>
      <c r="RDH3"/>
      <c r="RDI3"/>
      <c r="RDJ3"/>
      <c r="RDK3"/>
      <c r="RDL3"/>
      <c r="RDM3"/>
      <c r="RDN3"/>
      <c r="RDO3"/>
      <c r="RDP3"/>
      <c r="RDQ3"/>
      <c r="RDR3"/>
      <c r="RDS3"/>
      <c r="RDT3"/>
      <c r="RDU3"/>
      <c r="RDV3"/>
      <c r="RDW3"/>
      <c r="RDX3"/>
      <c r="RDY3"/>
      <c r="RDZ3"/>
      <c r="REA3"/>
      <c r="REB3"/>
      <c r="REC3"/>
      <c r="RED3"/>
      <c r="REE3"/>
      <c r="REF3"/>
      <c r="REG3"/>
      <c r="REH3"/>
      <c r="REI3"/>
      <c r="REJ3"/>
      <c r="REK3"/>
      <c r="REL3"/>
      <c r="REM3"/>
      <c r="REN3"/>
      <c r="REO3"/>
      <c r="REP3"/>
      <c r="REQ3"/>
      <c r="RER3"/>
      <c r="RES3"/>
      <c r="RET3"/>
      <c r="REU3"/>
      <c r="REV3"/>
      <c r="REW3"/>
      <c r="REX3"/>
      <c r="REY3"/>
      <c r="REZ3"/>
      <c r="RFA3"/>
      <c r="RFB3"/>
      <c r="RFC3"/>
      <c r="RFD3"/>
      <c r="RFE3"/>
      <c r="RFF3"/>
      <c r="RFG3"/>
      <c r="RFH3"/>
      <c r="RFI3"/>
      <c r="RFJ3"/>
      <c r="RFK3"/>
      <c r="RFL3"/>
      <c r="RFM3"/>
      <c r="RFN3"/>
      <c r="RFO3"/>
      <c r="RFP3"/>
      <c r="RFQ3"/>
      <c r="RFR3"/>
      <c r="RFS3"/>
      <c r="RFT3"/>
      <c r="RFU3"/>
      <c r="RFV3"/>
      <c r="RFW3"/>
      <c r="RFX3"/>
      <c r="RFY3"/>
      <c r="RFZ3"/>
      <c r="RGA3"/>
      <c r="RGB3"/>
      <c r="RGC3"/>
      <c r="RGD3"/>
      <c r="RGE3"/>
      <c r="RGF3"/>
      <c r="RGG3"/>
      <c r="RGH3"/>
      <c r="RGI3"/>
      <c r="RGJ3"/>
      <c r="RGK3"/>
      <c r="RGL3"/>
      <c r="RGM3"/>
      <c r="RGN3"/>
      <c r="RGO3"/>
      <c r="RGP3"/>
      <c r="RGQ3"/>
      <c r="RGR3"/>
      <c r="RGS3"/>
      <c r="RGT3"/>
      <c r="RGU3"/>
      <c r="RGV3"/>
      <c r="RGW3"/>
      <c r="RGX3"/>
      <c r="RGY3"/>
      <c r="RGZ3"/>
      <c r="RHA3"/>
      <c r="RHB3"/>
      <c r="RHC3"/>
      <c r="RHD3"/>
      <c r="RHE3"/>
      <c r="RHF3"/>
      <c r="RHG3"/>
      <c r="RHH3"/>
      <c r="RHI3"/>
      <c r="RHJ3"/>
      <c r="RHK3"/>
      <c r="RHL3"/>
      <c r="RHM3"/>
      <c r="RHN3"/>
      <c r="RHO3"/>
      <c r="RHP3"/>
      <c r="RHQ3"/>
      <c r="RHR3"/>
      <c r="RHS3"/>
      <c r="RHT3"/>
      <c r="RHU3"/>
      <c r="RHV3"/>
      <c r="RHW3"/>
      <c r="RHX3"/>
      <c r="RHY3"/>
      <c r="RHZ3"/>
      <c r="RIA3"/>
      <c r="RIB3"/>
      <c r="RIC3"/>
      <c r="RID3"/>
      <c r="RIE3"/>
      <c r="RIF3"/>
      <c r="RIG3"/>
      <c r="RIH3"/>
      <c r="RII3"/>
      <c r="RIJ3"/>
      <c r="RIK3"/>
      <c r="RIL3"/>
      <c r="RIM3"/>
      <c r="RIN3"/>
      <c r="RIO3"/>
      <c r="RIP3"/>
      <c r="RIQ3"/>
      <c r="RIR3"/>
      <c r="RIS3"/>
      <c r="RIT3"/>
      <c r="RIU3"/>
      <c r="RIV3"/>
      <c r="RIW3"/>
      <c r="RIX3"/>
      <c r="RIY3"/>
      <c r="RIZ3"/>
      <c r="RJA3"/>
      <c r="RJB3"/>
      <c r="RJC3"/>
      <c r="RJD3"/>
      <c r="RJE3"/>
      <c r="RJF3"/>
      <c r="RJG3"/>
      <c r="RJH3"/>
      <c r="RJI3"/>
      <c r="RJJ3"/>
      <c r="RJK3"/>
      <c r="RJL3"/>
      <c r="RJM3"/>
      <c r="RJN3"/>
      <c r="RJO3"/>
      <c r="RJP3"/>
      <c r="RJQ3"/>
      <c r="RJR3"/>
      <c r="RJS3"/>
      <c r="RJT3"/>
      <c r="RJU3"/>
      <c r="RJV3"/>
      <c r="RJW3"/>
      <c r="RJX3"/>
      <c r="RJY3"/>
      <c r="RJZ3"/>
      <c r="RKA3"/>
      <c r="RKB3"/>
      <c r="RKC3"/>
      <c r="RKD3"/>
      <c r="RKE3"/>
      <c r="RKF3"/>
      <c r="RKG3"/>
      <c r="RKH3"/>
      <c r="RKI3"/>
      <c r="RKJ3"/>
      <c r="RKK3"/>
      <c r="RKL3"/>
      <c r="RKM3"/>
      <c r="RKN3"/>
      <c r="RKO3"/>
      <c r="RKP3"/>
      <c r="RKQ3"/>
      <c r="RKR3"/>
      <c r="RKS3"/>
      <c r="RKT3"/>
      <c r="RKU3"/>
      <c r="RKV3"/>
      <c r="RKW3"/>
      <c r="RKX3"/>
      <c r="RKY3"/>
      <c r="RKZ3"/>
      <c r="RLA3"/>
      <c r="RLB3"/>
      <c r="RLC3"/>
      <c r="RLD3"/>
      <c r="RLE3"/>
      <c r="RLF3"/>
      <c r="RLG3"/>
      <c r="RLH3"/>
      <c r="RLI3"/>
      <c r="RLJ3"/>
      <c r="RLK3"/>
      <c r="RLL3"/>
      <c r="RLM3"/>
      <c r="RLN3"/>
      <c r="RLO3"/>
      <c r="RLP3"/>
      <c r="RLQ3"/>
      <c r="RLR3"/>
      <c r="RLS3"/>
      <c r="RLT3"/>
      <c r="RLU3"/>
      <c r="RLV3"/>
      <c r="RLW3"/>
      <c r="RLX3"/>
      <c r="RLY3"/>
      <c r="RLZ3"/>
      <c r="RMA3"/>
      <c r="RMB3"/>
      <c r="RMC3"/>
      <c r="RMD3"/>
      <c r="RME3"/>
      <c r="RMF3"/>
      <c r="RMG3"/>
      <c r="RMH3"/>
      <c r="RMI3"/>
      <c r="RMJ3"/>
      <c r="RMK3"/>
      <c r="RML3"/>
      <c r="RMM3"/>
      <c r="RMN3"/>
      <c r="RMO3"/>
      <c r="RMP3"/>
      <c r="RMQ3"/>
      <c r="RMR3"/>
      <c r="RMS3"/>
      <c r="RMT3"/>
      <c r="RMU3"/>
      <c r="RMV3"/>
      <c r="RMW3"/>
      <c r="RMX3"/>
      <c r="RMY3"/>
      <c r="RMZ3"/>
      <c r="RNA3"/>
      <c r="RNB3"/>
      <c r="RNC3"/>
      <c r="RND3"/>
      <c r="RNE3"/>
      <c r="RNF3"/>
      <c r="RNG3"/>
      <c r="RNH3"/>
      <c r="RNI3"/>
      <c r="RNJ3"/>
      <c r="RNK3"/>
      <c r="RNL3"/>
      <c r="RNM3"/>
      <c r="RNN3"/>
      <c r="RNO3"/>
      <c r="RNP3"/>
      <c r="RNQ3"/>
      <c r="RNR3"/>
      <c r="RNS3"/>
      <c r="RNT3"/>
      <c r="RNU3"/>
      <c r="RNV3"/>
      <c r="RNW3"/>
      <c r="RNX3"/>
      <c r="RNY3"/>
      <c r="RNZ3"/>
      <c r="ROA3"/>
      <c r="ROB3"/>
      <c r="ROC3"/>
      <c r="ROD3"/>
      <c r="ROE3"/>
      <c r="ROF3"/>
      <c r="ROG3"/>
      <c r="ROH3"/>
      <c r="ROI3"/>
      <c r="ROJ3"/>
      <c r="ROK3"/>
      <c r="ROL3"/>
      <c r="ROM3"/>
      <c r="RON3"/>
      <c r="ROO3"/>
      <c r="ROP3"/>
      <c r="ROQ3"/>
      <c r="ROR3"/>
      <c r="ROS3"/>
      <c r="ROT3"/>
      <c r="ROU3"/>
      <c r="ROV3"/>
      <c r="ROW3"/>
      <c r="ROX3"/>
      <c r="ROY3"/>
      <c r="ROZ3"/>
      <c r="RPA3"/>
      <c r="RPB3"/>
      <c r="RPC3"/>
      <c r="RPD3"/>
      <c r="RPE3"/>
      <c r="RPF3"/>
      <c r="RPG3"/>
      <c r="RPH3"/>
      <c r="RPI3"/>
      <c r="RPJ3"/>
      <c r="RPK3"/>
      <c r="RPL3"/>
      <c r="RPM3"/>
      <c r="RPN3"/>
      <c r="RPO3"/>
      <c r="RPP3"/>
      <c r="RPQ3"/>
      <c r="RPR3"/>
      <c r="RPS3"/>
      <c r="RPT3"/>
      <c r="RPU3"/>
      <c r="RPV3"/>
      <c r="RPW3"/>
      <c r="RPX3"/>
      <c r="RPY3"/>
      <c r="RPZ3"/>
      <c r="RQA3"/>
      <c r="RQB3"/>
      <c r="RQC3"/>
      <c r="RQD3"/>
      <c r="RQE3"/>
      <c r="RQF3"/>
      <c r="RQG3"/>
      <c r="RQH3"/>
      <c r="RQI3"/>
      <c r="RQJ3"/>
      <c r="RQK3"/>
      <c r="RQL3"/>
      <c r="RQM3"/>
      <c r="RQN3"/>
      <c r="RQO3"/>
      <c r="RQP3"/>
      <c r="RQQ3"/>
      <c r="RQR3"/>
      <c r="RQS3"/>
      <c r="RQT3"/>
      <c r="RQU3"/>
      <c r="RQV3"/>
      <c r="RQW3"/>
      <c r="RQX3"/>
      <c r="RQY3"/>
      <c r="RQZ3"/>
      <c r="RRA3"/>
      <c r="RRB3"/>
      <c r="RRC3"/>
      <c r="RRD3"/>
      <c r="RRE3"/>
      <c r="RRF3"/>
      <c r="RRG3"/>
      <c r="RRH3"/>
      <c r="RRI3"/>
      <c r="RRJ3"/>
      <c r="RRK3"/>
      <c r="RRL3"/>
      <c r="RRM3"/>
      <c r="RRN3"/>
      <c r="RRO3"/>
      <c r="RRP3"/>
      <c r="RRQ3"/>
      <c r="RRR3"/>
      <c r="RRS3"/>
      <c r="RRT3"/>
      <c r="RRU3"/>
      <c r="RRV3"/>
      <c r="RRW3"/>
      <c r="RRX3"/>
      <c r="RRY3"/>
      <c r="RRZ3"/>
      <c r="RSA3"/>
      <c r="RSB3"/>
      <c r="RSC3"/>
      <c r="RSD3"/>
      <c r="RSE3"/>
      <c r="RSF3"/>
      <c r="RSG3"/>
      <c r="RSH3"/>
      <c r="RSI3"/>
      <c r="RSJ3"/>
      <c r="RSK3"/>
      <c r="RSL3"/>
      <c r="RSM3"/>
      <c r="RSN3"/>
      <c r="RSO3"/>
      <c r="RSP3"/>
      <c r="RSQ3"/>
      <c r="RSR3"/>
      <c r="RSS3"/>
      <c r="RST3"/>
      <c r="RSU3"/>
      <c r="RSV3"/>
      <c r="RSW3"/>
      <c r="RSX3"/>
      <c r="RSY3"/>
      <c r="RSZ3"/>
      <c r="RTA3"/>
      <c r="RTB3"/>
      <c r="RTC3"/>
      <c r="RTD3"/>
      <c r="RTE3"/>
      <c r="RTF3"/>
      <c r="RTG3"/>
      <c r="RTH3"/>
      <c r="RTI3"/>
      <c r="RTJ3"/>
      <c r="RTK3"/>
      <c r="RTL3"/>
      <c r="RTM3"/>
      <c r="RTN3"/>
      <c r="RTO3"/>
      <c r="RTP3"/>
      <c r="RTQ3"/>
      <c r="RTR3"/>
      <c r="RTS3"/>
      <c r="RTT3"/>
      <c r="RTU3"/>
      <c r="RTV3"/>
      <c r="RTW3"/>
      <c r="RTX3"/>
      <c r="RTY3"/>
      <c r="RTZ3"/>
      <c r="RUA3"/>
      <c r="RUB3"/>
      <c r="RUC3"/>
      <c r="RUD3"/>
      <c r="RUE3"/>
      <c r="RUF3"/>
      <c r="RUG3"/>
      <c r="RUH3"/>
      <c r="RUI3"/>
      <c r="RUJ3"/>
      <c r="RUK3"/>
      <c r="RUL3"/>
      <c r="RUM3"/>
      <c r="RUN3"/>
      <c r="RUO3"/>
      <c r="RUP3"/>
      <c r="RUQ3"/>
      <c r="RUR3"/>
      <c r="RUS3"/>
      <c r="RUT3"/>
      <c r="RUU3"/>
      <c r="RUV3"/>
      <c r="RUW3"/>
      <c r="RUX3"/>
      <c r="RUY3"/>
      <c r="RUZ3"/>
      <c r="RVA3"/>
      <c r="RVB3"/>
      <c r="RVC3"/>
      <c r="RVD3"/>
      <c r="RVE3"/>
      <c r="RVF3"/>
      <c r="RVG3"/>
      <c r="RVH3"/>
      <c r="RVI3"/>
      <c r="RVJ3"/>
      <c r="RVK3"/>
      <c r="RVL3"/>
      <c r="RVM3"/>
      <c r="RVN3"/>
      <c r="RVO3"/>
      <c r="RVP3"/>
      <c r="RVQ3"/>
      <c r="RVR3"/>
      <c r="RVS3"/>
      <c r="RVT3"/>
      <c r="RVU3"/>
      <c r="RVV3"/>
      <c r="RVW3"/>
      <c r="RVX3"/>
      <c r="RVY3"/>
      <c r="RVZ3"/>
      <c r="RWA3"/>
      <c r="RWB3"/>
      <c r="RWC3"/>
      <c r="RWD3"/>
      <c r="RWE3"/>
      <c r="RWF3"/>
      <c r="RWG3"/>
      <c r="RWH3"/>
      <c r="RWI3"/>
      <c r="RWJ3"/>
      <c r="RWK3"/>
      <c r="RWL3"/>
      <c r="RWM3"/>
      <c r="RWN3"/>
      <c r="RWO3"/>
      <c r="RWP3"/>
      <c r="RWQ3"/>
      <c r="RWR3"/>
      <c r="RWS3"/>
      <c r="RWT3"/>
      <c r="RWU3"/>
      <c r="RWV3"/>
      <c r="RWW3"/>
      <c r="RWX3"/>
      <c r="RWY3"/>
      <c r="RWZ3"/>
      <c r="RXA3"/>
      <c r="RXB3"/>
      <c r="RXC3"/>
      <c r="RXD3"/>
      <c r="RXE3"/>
      <c r="RXF3"/>
      <c r="RXG3"/>
      <c r="RXH3"/>
      <c r="RXI3"/>
      <c r="RXJ3"/>
      <c r="RXK3"/>
      <c r="RXL3"/>
      <c r="RXM3"/>
      <c r="RXN3"/>
      <c r="RXO3"/>
      <c r="RXP3"/>
      <c r="RXQ3"/>
      <c r="RXR3"/>
      <c r="RXS3"/>
      <c r="RXT3"/>
      <c r="RXU3"/>
      <c r="RXV3"/>
      <c r="RXW3"/>
      <c r="RXX3"/>
      <c r="RXY3"/>
      <c r="RXZ3"/>
      <c r="RYA3"/>
      <c r="RYB3"/>
      <c r="RYC3"/>
      <c r="RYD3"/>
      <c r="RYE3"/>
      <c r="RYF3"/>
      <c r="RYG3"/>
      <c r="RYH3"/>
      <c r="RYI3"/>
      <c r="RYJ3"/>
      <c r="RYK3"/>
      <c r="RYL3"/>
      <c r="RYM3"/>
      <c r="RYN3"/>
      <c r="RYO3"/>
      <c r="RYP3"/>
      <c r="RYQ3"/>
      <c r="RYR3"/>
      <c r="RYS3"/>
      <c r="RYT3"/>
      <c r="RYU3"/>
      <c r="RYV3"/>
      <c r="RYW3"/>
      <c r="RYX3"/>
      <c r="RYY3"/>
      <c r="RYZ3"/>
      <c r="RZA3"/>
      <c r="RZB3"/>
      <c r="RZC3"/>
      <c r="RZD3"/>
      <c r="RZE3"/>
      <c r="RZF3"/>
      <c r="RZG3"/>
      <c r="RZH3"/>
      <c r="RZI3"/>
      <c r="RZJ3"/>
      <c r="RZK3"/>
      <c r="RZL3"/>
      <c r="RZM3"/>
      <c r="RZN3"/>
      <c r="RZO3"/>
      <c r="RZP3"/>
      <c r="RZQ3"/>
      <c r="RZR3"/>
      <c r="RZS3"/>
      <c r="RZT3"/>
      <c r="RZU3"/>
      <c r="RZV3"/>
      <c r="RZW3"/>
      <c r="RZX3"/>
      <c r="RZY3"/>
      <c r="RZZ3"/>
      <c r="SAA3"/>
      <c r="SAB3"/>
      <c r="SAC3"/>
      <c r="SAD3"/>
      <c r="SAE3"/>
      <c r="SAF3"/>
      <c r="SAG3"/>
      <c r="SAH3"/>
      <c r="SAI3"/>
      <c r="SAJ3"/>
      <c r="SAK3"/>
      <c r="SAL3"/>
      <c r="SAM3"/>
      <c r="SAN3"/>
      <c r="SAO3"/>
      <c r="SAP3"/>
      <c r="SAQ3"/>
      <c r="SAR3"/>
      <c r="SAS3"/>
      <c r="SAT3"/>
      <c r="SAU3"/>
      <c r="SAV3"/>
      <c r="SAW3"/>
      <c r="SAX3"/>
      <c r="SAY3"/>
      <c r="SAZ3"/>
      <c r="SBA3"/>
      <c r="SBB3"/>
      <c r="SBC3"/>
      <c r="SBD3"/>
      <c r="SBE3"/>
      <c r="SBF3"/>
      <c r="SBG3"/>
      <c r="SBH3"/>
      <c r="SBI3"/>
      <c r="SBJ3"/>
      <c r="SBK3"/>
      <c r="SBL3"/>
      <c r="SBM3"/>
      <c r="SBN3"/>
      <c r="SBO3"/>
      <c r="SBP3"/>
      <c r="SBQ3"/>
      <c r="SBR3"/>
      <c r="SBS3"/>
      <c r="SBT3"/>
      <c r="SBU3"/>
      <c r="SBV3"/>
      <c r="SBW3"/>
      <c r="SBX3"/>
      <c r="SBY3"/>
      <c r="SBZ3"/>
      <c r="SCA3"/>
      <c r="SCB3"/>
      <c r="SCC3"/>
      <c r="SCD3"/>
      <c r="SCE3"/>
      <c r="SCF3"/>
      <c r="SCG3"/>
      <c r="SCH3"/>
      <c r="SCI3"/>
      <c r="SCJ3"/>
      <c r="SCK3"/>
      <c r="SCL3"/>
      <c r="SCM3"/>
      <c r="SCN3"/>
      <c r="SCO3"/>
      <c r="SCP3"/>
      <c r="SCQ3"/>
      <c r="SCR3"/>
      <c r="SCS3"/>
      <c r="SCT3"/>
      <c r="SCU3"/>
      <c r="SCV3"/>
      <c r="SCW3"/>
      <c r="SCX3"/>
      <c r="SCY3"/>
      <c r="SCZ3"/>
      <c r="SDA3"/>
      <c r="SDB3"/>
      <c r="SDC3"/>
      <c r="SDD3"/>
      <c r="SDE3"/>
      <c r="SDF3"/>
      <c r="SDG3"/>
      <c r="SDH3"/>
      <c r="SDI3"/>
      <c r="SDJ3"/>
      <c r="SDK3"/>
      <c r="SDL3"/>
      <c r="SDM3"/>
      <c r="SDN3"/>
      <c r="SDO3"/>
      <c r="SDP3"/>
      <c r="SDQ3"/>
      <c r="SDR3"/>
      <c r="SDS3"/>
      <c r="SDT3"/>
      <c r="SDU3"/>
      <c r="SDV3"/>
      <c r="SDW3"/>
      <c r="SDX3"/>
      <c r="SDY3"/>
      <c r="SDZ3"/>
      <c r="SEA3"/>
      <c r="SEB3"/>
      <c r="SEC3"/>
      <c r="SED3"/>
      <c r="SEE3"/>
      <c r="SEF3"/>
      <c r="SEG3"/>
      <c r="SEH3"/>
      <c r="SEI3"/>
      <c r="SEJ3"/>
      <c r="SEK3"/>
      <c r="SEL3"/>
      <c r="SEM3"/>
      <c r="SEN3"/>
      <c r="SEO3"/>
      <c r="SEP3"/>
      <c r="SEQ3"/>
      <c r="SER3"/>
      <c r="SES3"/>
      <c r="SET3"/>
      <c r="SEU3"/>
      <c r="SEV3"/>
      <c r="SEW3"/>
      <c r="SEX3"/>
      <c r="SEY3"/>
      <c r="SEZ3"/>
      <c r="SFA3"/>
      <c r="SFB3"/>
      <c r="SFC3"/>
      <c r="SFD3"/>
      <c r="SFE3"/>
      <c r="SFF3"/>
      <c r="SFG3"/>
      <c r="SFH3"/>
      <c r="SFI3"/>
      <c r="SFJ3"/>
      <c r="SFK3"/>
      <c r="SFL3"/>
      <c r="SFM3"/>
      <c r="SFN3"/>
      <c r="SFO3"/>
      <c r="SFP3"/>
      <c r="SFQ3"/>
      <c r="SFR3"/>
      <c r="SFS3"/>
      <c r="SFT3"/>
      <c r="SFU3"/>
      <c r="SFV3"/>
      <c r="SFW3"/>
      <c r="SFX3"/>
      <c r="SFY3"/>
      <c r="SFZ3"/>
      <c r="SGA3"/>
      <c r="SGB3"/>
      <c r="SGC3"/>
      <c r="SGD3"/>
      <c r="SGE3"/>
      <c r="SGF3"/>
      <c r="SGG3"/>
      <c r="SGH3"/>
      <c r="SGI3"/>
      <c r="SGJ3"/>
      <c r="SGK3"/>
      <c r="SGL3"/>
      <c r="SGM3"/>
      <c r="SGN3"/>
      <c r="SGO3"/>
      <c r="SGP3"/>
      <c r="SGQ3"/>
      <c r="SGR3"/>
      <c r="SGS3"/>
      <c r="SGT3"/>
      <c r="SGU3"/>
      <c r="SGV3"/>
      <c r="SGW3"/>
      <c r="SGX3"/>
      <c r="SGY3"/>
      <c r="SGZ3"/>
      <c r="SHA3"/>
      <c r="SHB3"/>
      <c r="SHC3"/>
      <c r="SHD3"/>
      <c r="SHE3"/>
      <c r="SHF3"/>
      <c r="SHG3"/>
      <c r="SHH3"/>
      <c r="SHI3"/>
      <c r="SHJ3"/>
      <c r="SHK3"/>
      <c r="SHL3"/>
      <c r="SHM3"/>
      <c r="SHN3"/>
      <c r="SHO3"/>
      <c r="SHP3"/>
      <c r="SHQ3"/>
      <c r="SHR3"/>
      <c r="SHS3"/>
      <c r="SHT3"/>
      <c r="SHU3"/>
      <c r="SHV3"/>
      <c r="SHW3"/>
      <c r="SHX3"/>
      <c r="SHY3"/>
      <c r="SHZ3"/>
      <c r="SIA3"/>
      <c r="SIB3"/>
      <c r="SIC3"/>
      <c r="SID3"/>
      <c r="SIE3"/>
      <c r="SIF3"/>
      <c r="SIG3"/>
      <c r="SIH3"/>
      <c r="SII3"/>
      <c r="SIJ3"/>
      <c r="SIK3"/>
      <c r="SIL3"/>
      <c r="SIM3"/>
      <c r="SIN3"/>
      <c r="SIO3"/>
      <c r="SIP3"/>
      <c r="SIQ3"/>
      <c r="SIR3"/>
      <c r="SIS3"/>
      <c r="SIT3"/>
      <c r="SIU3"/>
      <c r="SIV3"/>
      <c r="SIW3"/>
      <c r="SIX3"/>
      <c r="SIY3"/>
      <c r="SIZ3"/>
      <c r="SJA3"/>
      <c r="SJB3"/>
      <c r="SJC3"/>
      <c r="SJD3"/>
      <c r="SJE3"/>
      <c r="SJF3"/>
      <c r="SJG3"/>
      <c r="SJH3"/>
      <c r="SJI3"/>
      <c r="SJJ3"/>
      <c r="SJK3"/>
      <c r="SJL3"/>
      <c r="SJM3"/>
      <c r="SJN3"/>
      <c r="SJO3"/>
      <c r="SJP3"/>
      <c r="SJQ3"/>
      <c r="SJR3"/>
      <c r="SJS3"/>
      <c r="SJT3"/>
      <c r="SJU3"/>
      <c r="SJV3"/>
      <c r="SJW3"/>
      <c r="SJX3"/>
      <c r="SJY3"/>
      <c r="SJZ3"/>
      <c r="SKA3"/>
      <c r="SKB3"/>
      <c r="SKC3"/>
      <c r="SKD3"/>
      <c r="SKE3"/>
      <c r="SKF3"/>
      <c r="SKG3"/>
      <c r="SKH3"/>
      <c r="SKI3"/>
      <c r="SKJ3"/>
      <c r="SKK3"/>
      <c r="SKL3"/>
      <c r="SKM3"/>
      <c r="SKN3"/>
      <c r="SKO3"/>
      <c r="SKP3"/>
      <c r="SKQ3"/>
      <c r="SKR3"/>
      <c r="SKS3"/>
      <c r="SKT3"/>
      <c r="SKU3"/>
      <c r="SKV3"/>
      <c r="SKW3"/>
      <c r="SKX3"/>
      <c r="SKY3"/>
      <c r="SKZ3"/>
      <c r="SLA3"/>
      <c r="SLB3"/>
      <c r="SLC3"/>
      <c r="SLD3"/>
      <c r="SLE3"/>
      <c r="SLF3"/>
      <c r="SLG3"/>
      <c r="SLH3"/>
      <c r="SLI3"/>
      <c r="SLJ3"/>
      <c r="SLK3"/>
      <c r="SLL3"/>
      <c r="SLM3"/>
      <c r="SLN3"/>
      <c r="SLO3"/>
      <c r="SLP3"/>
      <c r="SLQ3"/>
      <c r="SLR3"/>
      <c r="SLS3"/>
      <c r="SLT3"/>
      <c r="SLU3"/>
      <c r="SLV3"/>
      <c r="SLW3"/>
      <c r="SLX3"/>
      <c r="SLY3"/>
      <c r="SLZ3"/>
      <c r="SMA3"/>
      <c r="SMB3"/>
      <c r="SMC3"/>
      <c r="SMD3"/>
      <c r="SME3"/>
      <c r="SMF3"/>
      <c r="SMG3"/>
      <c r="SMH3"/>
      <c r="SMI3"/>
      <c r="SMJ3"/>
      <c r="SMK3"/>
      <c r="SML3"/>
      <c r="SMM3"/>
      <c r="SMN3"/>
      <c r="SMO3"/>
      <c r="SMP3"/>
      <c r="SMQ3"/>
      <c r="SMR3"/>
      <c r="SMS3"/>
      <c r="SMT3"/>
      <c r="SMU3"/>
      <c r="SMV3"/>
      <c r="SMW3"/>
      <c r="SMX3"/>
      <c r="SMY3"/>
      <c r="SMZ3"/>
      <c r="SNA3"/>
      <c r="SNB3"/>
      <c r="SNC3"/>
      <c r="SND3"/>
      <c r="SNE3"/>
      <c r="SNF3"/>
      <c r="SNG3"/>
      <c r="SNH3"/>
      <c r="SNI3"/>
      <c r="SNJ3"/>
      <c r="SNK3"/>
      <c r="SNL3"/>
      <c r="SNM3"/>
      <c r="SNN3"/>
      <c r="SNO3"/>
      <c r="SNP3"/>
      <c r="SNQ3"/>
      <c r="SNR3"/>
      <c r="SNS3"/>
      <c r="SNT3"/>
      <c r="SNU3"/>
      <c r="SNV3"/>
      <c r="SNW3"/>
      <c r="SNX3"/>
      <c r="SNY3"/>
      <c r="SNZ3"/>
      <c r="SOA3"/>
      <c r="SOB3"/>
      <c r="SOC3"/>
      <c r="SOD3"/>
      <c r="SOE3"/>
      <c r="SOF3"/>
      <c r="SOG3"/>
      <c r="SOH3"/>
      <c r="SOI3"/>
      <c r="SOJ3"/>
      <c r="SOK3"/>
      <c r="SOL3"/>
      <c r="SOM3"/>
      <c r="SON3"/>
      <c r="SOO3"/>
      <c r="SOP3"/>
      <c r="SOQ3"/>
      <c r="SOR3"/>
      <c r="SOS3"/>
      <c r="SOT3"/>
      <c r="SOU3"/>
      <c r="SOV3"/>
      <c r="SOW3"/>
      <c r="SOX3"/>
      <c r="SOY3"/>
      <c r="SOZ3"/>
      <c r="SPA3"/>
      <c r="SPB3"/>
      <c r="SPC3"/>
      <c r="SPD3"/>
      <c r="SPE3"/>
      <c r="SPF3"/>
      <c r="SPG3"/>
      <c r="SPH3"/>
      <c r="SPI3"/>
      <c r="SPJ3"/>
      <c r="SPK3"/>
      <c r="SPL3"/>
      <c r="SPM3"/>
      <c r="SPN3"/>
      <c r="SPO3"/>
      <c r="SPP3"/>
      <c r="SPQ3"/>
      <c r="SPR3"/>
      <c r="SPS3"/>
      <c r="SPT3"/>
      <c r="SPU3"/>
      <c r="SPV3"/>
      <c r="SPW3"/>
      <c r="SPX3"/>
      <c r="SPY3"/>
      <c r="SPZ3"/>
      <c r="SQA3"/>
      <c r="SQB3"/>
      <c r="SQC3"/>
      <c r="SQD3"/>
      <c r="SQE3"/>
      <c r="SQF3"/>
      <c r="SQG3"/>
      <c r="SQH3"/>
      <c r="SQI3"/>
      <c r="SQJ3"/>
      <c r="SQK3"/>
      <c r="SQL3"/>
      <c r="SQM3"/>
      <c r="SQN3"/>
      <c r="SQO3"/>
      <c r="SQP3"/>
      <c r="SQQ3"/>
      <c r="SQR3"/>
      <c r="SQS3"/>
      <c r="SQT3"/>
      <c r="SQU3"/>
      <c r="SQV3"/>
      <c r="SQW3"/>
      <c r="SQX3"/>
      <c r="SQY3"/>
      <c r="SQZ3"/>
      <c r="SRA3"/>
      <c r="SRB3"/>
      <c r="SRC3"/>
      <c r="SRD3"/>
      <c r="SRE3"/>
      <c r="SRF3"/>
      <c r="SRG3"/>
      <c r="SRH3"/>
      <c r="SRI3"/>
      <c r="SRJ3"/>
      <c r="SRK3"/>
      <c r="SRL3"/>
      <c r="SRM3"/>
      <c r="SRN3"/>
      <c r="SRO3"/>
      <c r="SRP3"/>
      <c r="SRQ3"/>
      <c r="SRR3"/>
      <c r="SRS3"/>
      <c r="SRT3"/>
      <c r="SRU3"/>
      <c r="SRV3"/>
      <c r="SRW3"/>
      <c r="SRX3"/>
      <c r="SRY3"/>
      <c r="SRZ3"/>
      <c r="SSA3"/>
      <c r="SSB3"/>
      <c r="SSC3"/>
      <c r="SSD3"/>
      <c r="SSE3"/>
      <c r="SSF3"/>
      <c r="SSG3"/>
      <c r="SSH3"/>
      <c r="SSI3"/>
      <c r="SSJ3"/>
      <c r="SSK3"/>
      <c r="SSL3"/>
      <c r="SSM3"/>
      <c r="SSN3"/>
      <c r="SSO3"/>
      <c r="SSP3"/>
      <c r="SSQ3"/>
      <c r="SSR3"/>
      <c r="SSS3"/>
      <c r="SST3"/>
      <c r="SSU3"/>
      <c r="SSV3"/>
      <c r="SSW3"/>
      <c r="SSX3"/>
      <c r="SSY3"/>
      <c r="SSZ3"/>
      <c r="STA3"/>
      <c r="STB3"/>
      <c r="STC3"/>
      <c r="STD3"/>
      <c r="STE3"/>
      <c r="STF3"/>
      <c r="STG3"/>
      <c r="STH3"/>
      <c r="STI3"/>
      <c r="STJ3"/>
      <c r="STK3"/>
      <c r="STL3"/>
      <c r="STM3"/>
      <c r="STN3"/>
      <c r="STO3"/>
      <c r="STP3"/>
      <c r="STQ3"/>
      <c r="STR3"/>
      <c r="STS3"/>
      <c r="STT3"/>
      <c r="STU3"/>
      <c r="STV3"/>
      <c r="STW3"/>
      <c r="STX3"/>
      <c r="STY3"/>
      <c r="STZ3"/>
      <c r="SUA3"/>
      <c r="SUB3"/>
      <c r="SUC3"/>
      <c r="SUD3"/>
      <c r="SUE3"/>
      <c r="SUF3"/>
      <c r="SUG3"/>
      <c r="SUH3"/>
      <c r="SUI3"/>
      <c r="SUJ3"/>
      <c r="SUK3"/>
      <c r="SUL3"/>
      <c r="SUM3"/>
      <c r="SUN3"/>
      <c r="SUO3"/>
      <c r="SUP3"/>
      <c r="SUQ3"/>
      <c r="SUR3"/>
      <c r="SUS3"/>
      <c r="SUT3"/>
      <c r="SUU3"/>
      <c r="SUV3"/>
      <c r="SUW3"/>
      <c r="SUX3"/>
      <c r="SUY3"/>
      <c r="SUZ3"/>
      <c r="SVA3"/>
      <c r="SVB3"/>
      <c r="SVC3"/>
      <c r="SVD3"/>
      <c r="SVE3"/>
      <c r="SVF3"/>
      <c r="SVG3"/>
      <c r="SVH3"/>
      <c r="SVI3"/>
      <c r="SVJ3"/>
      <c r="SVK3"/>
      <c r="SVL3"/>
      <c r="SVM3"/>
      <c r="SVN3"/>
      <c r="SVO3"/>
      <c r="SVP3"/>
      <c r="SVQ3"/>
      <c r="SVR3"/>
      <c r="SVS3"/>
      <c r="SVT3"/>
      <c r="SVU3"/>
      <c r="SVV3"/>
      <c r="SVW3"/>
      <c r="SVX3"/>
      <c r="SVY3"/>
      <c r="SVZ3"/>
      <c r="SWA3"/>
      <c r="SWB3"/>
      <c r="SWC3"/>
      <c r="SWD3"/>
      <c r="SWE3"/>
      <c r="SWF3"/>
      <c r="SWG3"/>
      <c r="SWH3"/>
      <c r="SWI3"/>
      <c r="SWJ3"/>
      <c r="SWK3"/>
      <c r="SWL3"/>
      <c r="SWM3"/>
      <c r="SWN3"/>
      <c r="SWO3"/>
      <c r="SWP3"/>
      <c r="SWQ3"/>
      <c r="SWR3"/>
      <c r="SWS3"/>
      <c r="SWT3"/>
      <c r="SWU3"/>
      <c r="SWV3"/>
      <c r="SWW3"/>
      <c r="SWX3"/>
      <c r="SWY3"/>
      <c r="SWZ3"/>
      <c r="SXA3"/>
      <c r="SXB3"/>
      <c r="SXC3"/>
      <c r="SXD3"/>
      <c r="SXE3"/>
      <c r="SXF3"/>
      <c r="SXG3"/>
      <c r="SXH3"/>
      <c r="SXI3"/>
      <c r="SXJ3"/>
      <c r="SXK3"/>
      <c r="SXL3"/>
      <c r="SXM3"/>
      <c r="SXN3"/>
      <c r="SXO3"/>
      <c r="SXP3"/>
      <c r="SXQ3"/>
      <c r="SXR3"/>
      <c r="SXS3"/>
      <c r="SXT3"/>
      <c r="SXU3"/>
      <c r="SXV3"/>
      <c r="SXW3"/>
      <c r="SXX3"/>
      <c r="SXY3"/>
      <c r="SXZ3"/>
      <c r="SYA3"/>
      <c r="SYB3"/>
      <c r="SYC3"/>
      <c r="SYD3"/>
      <c r="SYE3"/>
      <c r="SYF3"/>
      <c r="SYG3"/>
      <c r="SYH3"/>
      <c r="SYI3"/>
      <c r="SYJ3"/>
      <c r="SYK3"/>
      <c r="SYL3"/>
      <c r="SYM3"/>
      <c r="SYN3"/>
      <c r="SYO3"/>
      <c r="SYP3"/>
      <c r="SYQ3"/>
      <c r="SYR3"/>
      <c r="SYS3"/>
      <c r="SYT3"/>
      <c r="SYU3"/>
      <c r="SYV3"/>
      <c r="SYW3"/>
      <c r="SYX3"/>
      <c r="SYY3"/>
      <c r="SYZ3"/>
      <c r="SZA3"/>
      <c r="SZB3"/>
      <c r="SZC3"/>
      <c r="SZD3"/>
      <c r="SZE3"/>
      <c r="SZF3"/>
      <c r="SZG3"/>
      <c r="SZH3"/>
      <c r="SZI3"/>
      <c r="SZJ3"/>
      <c r="SZK3"/>
      <c r="SZL3"/>
      <c r="SZM3"/>
      <c r="SZN3"/>
      <c r="SZO3"/>
      <c r="SZP3"/>
      <c r="SZQ3"/>
      <c r="SZR3"/>
      <c r="SZS3"/>
      <c r="SZT3"/>
      <c r="SZU3"/>
      <c r="SZV3"/>
      <c r="SZW3"/>
      <c r="SZX3"/>
      <c r="SZY3"/>
      <c r="SZZ3"/>
      <c r="TAA3"/>
      <c r="TAB3"/>
      <c r="TAC3"/>
      <c r="TAD3"/>
      <c r="TAE3"/>
      <c r="TAF3"/>
      <c r="TAG3"/>
      <c r="TAH3"/>
      <c r="TAI3"/>
      <c r="TAJ3"/>
      <c r="TAK3"/>
      <c r="TAL3"/>
      <c r="TAM3"/>
      <c r="TAN3"/>
      <c r="TAO3"/>
      <c r="TAP3"/>
      <c r="TAQ3"/>
      <c r="TAR3"/>
      <c r="TAS3"/>
      <c r="TAT3"/>
      <c r="TAU3"/>
      <c r="TAV3"/>
      <c r="TAW3"/>
      <c r="TAX3"/>
      <c r="TAY3"/>
      <c r="TAZ3"/>
      <c r="TBA3"/>
      <c r="TBB3"/>
      <c r="TBC3"/>
      <c r="TBD3"/>
      <c r="TBE3"/>
      <c r="TBF3"/>
      <c r="TBG3"/>
      <c r="TBH3"/>
      <c r="TBI3"/>
      <c r="TBJ3"/>
      <c r="TBK3"/>
      <c r="TBL3"/>
      <c r="TBM3"/>
      <c r="TBN3"/>
      <c r="TBO3"/>
      <c r="TBP3"/>
      <c r="TBQ3"/>
      <c r="TBR3"/>
      <c r="TBS3"/>
      <c r="TBT3"/>
      <c r="TBU3"/>
      <c r="TBV3"/>
      <c r="TBW3"/>
      <c r="TBX3"/>
      <c r="TBY3"/>
      <c r="TBZ3"/>
      <c r="TCA3"/>
      <c r="TCB3"/>
      <c r="TCC3"/>
      <c r="TCD3"/>
      <c r="TCE3"/>
      <c r="TCF3"/>
      <c r="TCG3"/>
      <c r="TCH3"/>
      <c r="TCI3"/>
      <c r="TCJ3"/>
      <c r="TCK3"/>
      <c r="TCL3"/>
      <c r="TCM3"/>
      <c r="TCN3"/>
      <c r="TCO3"/>
      <c r="TCP3"/>
      <c r="TCQ3"/>
      <c r="TCR3"/>
      <c r="TCS3"/>
      <c r="TCT3"/>
      <c r="TCU3"/>
      <c r="TCV3"/>
      <c r="TCW3"/>
      <c r="TCX3"/>
      <c r="TCY3"/>
      <c r="TCZ3"/>
      <c r="TDA3"/>
      <c r="TDB3"/>
      <c r="TDC3"/>
      <c r="TDD3"/>
      <c r="TDE3"/>
      <c r="TDF3"/>
      <c r="TDG3"/>
      <c r="TDH3"/>
      <c r="TDI3"/>
      <c r="TDJ3"/>
      <c r="TDK3"/>
      <c r="TDL3"/>
      <c r="TDM3"/>
      <c r="TDN3"/>
      <c r="TDO3"/>
      <c r="TDP3"/>
      <c r="TDQ3"/>
      <c r="TDR3"/>
      <c r="TDS3"/>
      <c r="TDT3"/>
      <c r="TDU3"/>
      <c r="TDV3"/>
      <c r="TDW3"/>
      <c r="TDX3"/>
      <c r="TDY3"/>
      <c r="TDZ3"/>
      <c r="TEA3"/>
      <c r="TEB3"/>
      <c r="TEC3"/>
      <c r="TED3"/>
      <c r="TEE3"/>
      <c r="TEF3"/>
      <c r="TEG3"/>
      <c r="TEH3"/>
      <c r="TEI3"/>
      <c r="TEJ3"/>
      <c r="TEK3"/>
      <c r="TEL3"/>
      <c r="TEM3"/>
      <c r="TEN3"/>
      <c r="TEO3"/>
      <c r="TEP3"/>
      <c r="TEQ3"/>
      <c r="TER3"/>
      <c r="TES3"/>
      <c r="TET3"/>
      <c r="TEU3"/>
      <c r="TEV3"/>
      <c r="TEW3"/>
      <c r="TEX3"/>
      <c r="TEY3"/>
      <c r="TEZ3"/>
      <c r="TFA3"/>
      <c r="TFB3"/>
      <c r="TFC3"/>
      <c r="TFD3"/>
      <c r="TFE3"/>
      <c r="TFF3"/>
      <c r="TFG3"/>
      <c r="TFH3"/>
      <c r="TFI3"/>
      <c r="TFJ3"/>
      <c r="TFK3"/>
      <c r="TFL3"/>
      <c r="TFM3"/>
      <c r="TFN3"/>
      <c r="TFO3"/>
      <c r="TFP3"/>
      <c r="TFQ3"/>
      <c r="TFR3"/>
      <c r="TFS3"/>
      <c r="TFT3"/>
      <c r="TFU3"/>
      <c r="TFV3"/>
      <c r="TFW3"/>
      <c r="TFX3"/>
      <c r="TFY3"/>
      <c r="TFZ3"/>
      <c r="TGA3"/>
      <c r="TGB3"/>
      <c r="TGC3"/>
      <c r="TGD3"/>
      <c r="TGE3"/>
      <c r="TGF3"/>
      <c r="TGG3"/>
      <c r="TGH3"/>
      <c r="TGI3"/>
      <c r="TGJ3"/>
      <c r="TGK3"/>
      <c r="TGL3"/>
      <c r="TGM3"/>
      <c r="TGN3"/>
      <c r="TGO3"/>
      <c r="TGP3"/>
      <c r="TGQ3"/>
      <c r="TGR3"/>
      <c r="TGS3"/>
      <c r="TGT3"/>
      <c r="TGU3"/>
      <c r="TGV3"/>
      <c r="TGW3"/>
      <c r="TGX3"/>
      <c r="TGY3"/>
      <c r="TGZ3"/>
      <c r="THA3"/>
      <c r="THB3"/>
      <c r="THC3"/>
      <c r="THD3"/>
      <c r="THE3"/>
      <c r="THF3"/>
      <c r="THG3"/>
      <c r="THH3"/>
      <c r="THI3"/>
      <c r="THJ3"/>
      <c r="THK3"/>
      <c r="THL3"/>
      <c r="THM3"/>
      <c r="THN3"/>
      <c r="THO3"/>
      <c r="THP3"/>
      <c r="THQ3"/>
      <c r="THR3"/>
      <c r="THS3"/>
      <c r="THT3"/>
      <c r="THU3"/>
      <c r="THV3"/>
      <c r="THW3"/>
      <c r="THX3"/>
      <c r="THY3"/>
      <c r="THZ3"/>
      <c r="TIA3"/>
      <c r="TIB3"/>
      <c r="TIC3"/>
      <c r="TID3"/>
      <c r="TIE3"/>
      <c r="TIF3"/>
      <c r="TIG3"/>
      <c r="TIH3"/>
      <c r="TII3"/>
      <c r="TIJ3"/>
      <c r="TIK3"/>
      <c r="TIL3"/>
      <c r="TIM3"/>
      <c r="TIN3"/>
      <c r="TIO3"/>
      <c r="TIP3"/>
      <c r="TIQ3"/>
      <c r="TIR3"/>
      <c r="TIS3"/>
      <c r="TIT3"/>
      <c r="TIU3"/>
      <c r="TIV3"/>
      <c r="TIW3"/>
      <c r="TIX3"/>
      <c r="TIY3"/>
      <c r="TIZ3"/>
      <c r="TJA3"/>
      <c r="TJB3"/>
      <c r="TJC3"/>
      <c r="TJD3"/>
      <c r="TJE3"/>
      <c r="TJF3"/>
      <c r="TJG3"/>
      <c r="TJH3"/>
      <c r="TJI3"/>
      <c r="TJJ3"/>
      <c r="TJK3"/>
      <c r="TJL3"/>
      <c r="TJM3"/>
      <c r="TJN3"/>
      <c r="TJO3"/>
      <c r="TJP3"/>
      <c r="TJQ3"/>
      <c r="TJR3"/>
      <c r="TJS3"/>
      <c r="TJT3"/>
      <c r="TJU3"/>
      <c r="TJV3"/>
      <c r="TJW3"/>
      <c r="TJX3"/>
      <c r="TJY3"/>
      <c r="TJZ3"/>
      <c r="TKA3"/>
      <c r="TKB3"/>
      <c r="TKC3"/>
      <c r="TKD3"/>
      <c r="TKE3"/>
      <c r="TKF3"/>
      <c r="TKG3"/>
      <c r="TKH3"/>
      <c r="TKI3"/>
      <c r="TKJ3"/>
      <c r="TKK3"/>
      <c r="TKL3"/>
      <c r="TKM3"/>
      <c r="TKN3"/>
      <c r="TKO3"/>
      <c r="TKP3"/>
      <c r="TKQ3"/>
      <c r="TKR3"/>
      <c r="TKS3"/>
      <c r="TKT3"/>
      <c r="TKU3"/>
      <c r="TKV3"/>
      <c r="TKW3"/>
      <c r="TKX3"/>
      <c r="TKY3"/>
      <c r="TKZ3"/>
      <c r="TLA3"/>
      <c r="TLB3"/>
      <c r="TLC3"/>
      <c r="TLD3"/>
      <c r="TLE3"/>
      <c r="TLF3"/>
      <c r="TLG3"/>
      <c r="TLH3"/>
      <c r="TLI3"/>
      <c r="TLJ3"/>
      <c r="TLK3"/>
      <c r="TLL3"/>
      <c r="TLM3"/>
      <c r="TLN3"/>
      <c r="TLO3"/>
      <c r="TLP3"/>
      <c r="TLQ3"/>
      <c r="TLR3"/>
      <c r="TLS3"/>
      <c r="TLT3"/>
      <c r="TLU3"/>
      <c r="TLV3"/>
      <c r="TLW3"/>
      <c r="TLX3"/>
      <c r="TLY3"/>
      <c r="TLZ3"/>
      <c r="TMA3"/>
      <c r="TMB3"/>
      <c r="TMC3"/>
      <c r="TMD3"/>
      <c r="TME3"/>
      <c r="TMF3"/>
      <c r="TMG3"/>
      <c r="TMH3"/>
      <c r="TMI3"/>
      <c r="TMJ3"/>
      <c r="TMK3"/>
      <c r="TML3"/>
      <c r="TMM3"/>
      <c r="TMN3"/>
      <c r="TMO3"/>
      <c r="TMP3"/>
      <c r="TMQ3"/>
      <c r="TMR3"/>
      <c r="TMS3"/>
      <c r="TMT3"/>
      <c r="TMU3"/>
      <c r="TMV3"/>
      <c r="TMW3"/>
      <c r="TMX3"/>
      <c r="TMY3"/>
      <c r="TMZ3"/>
      <c r="TNA3"/>
      <c r="TNB3"/>
      <c r="TNC3"/>
      <c r="TND3"/>
      <c r="TNE3"/>
      <c r="TNF3"/>
      <c r="TNG3"/>
      <c r="TNH3"/>
      <c r="TNI3"/>
      <c r="TNJ3"/>
      <c r="TNK3"/>
      <c r="TNL3"/>
      <c r="TNM3"/>
      <c r="TNN3"/>
      <c r="TNO3"/>
      <c r="TNP3"/>
      <c r="TNQ3"/>
      <c r="TNR3"/>
      <c r="TNS3"/>
      <c r="TNT3"/>
      <c r="TNU3"/>
      <c r="TNV3"/>
      <c r="TNW3"/>
      <c r="TNX3"/>
      <c r="TNY3"/>
      <c r="TNZ3"/>
      <c r="TOA3"/>
      <c r="TOB3"/>
      <c r="TOC3"/>
      <c r="TOD3"/>
      <c r="TOE3"/>
      <c r="TOF3"/>
      <c r="TOG3"/>
      <c r="TOH3"/>
      <c r="TOI3"/>
      <c r="TOJ3"/>
      <c r="TOK3"/>
      <c r="TOL3"/>
      <c r="TOM3"/>
      <c r="TON3"/>
      <c r="TOO3"/>
      <c r="TOP3"/>
      <c r="TOQ3"/>
      <c r="TOR3"/>
      <c r="TOS3"/>
      <c r="TOT3"/>
      <c r="TOU3"/>
      <c r="TOV3"/>
      <c r="TOW3"/>
      <c r="TOX3"/>
      <c r="TOY3"/>
      <c r="TOZ3"/>
      <c r="TPA3"/>
      <c r="TPB3"/>
      <c r="TPC3"/>
      <c r="TPD3"/>
      <c r="TPE3"/>
      <c r="TPF3"/>
      <c r="TPG3"/>
      <c r="TPH3"/>
      <c r="TPI3"/>
      <c r="TPJ3"/>
      <c r="TPK3"/>
      <c r="TPL3"/>
      <c r="TPM3"/>
      <c r="TPN3"/>
      <c r="TPO3"/>
      <c r="TPP3"/>
      <c r="TPQ3"/>
      <c r="TPR3"/>
      <c r="TPS3"/>
      <c r="TPT3"/>
      <c r="TPU3"/>
      <c r="TPV3"/>
      <c r="TPW3"/>
      <c r="TPX3"/>
      <c r="TPY3"/>
      <c r="TPZ3"/>
      <c r="TQA3"/>
      <c r="TQB3"/>
      <c r="TQC3"/>
      <c r="TQD3"/>
      <c r="TQE3"/>
      <c r="TQF3"/>
      <c r="TQG3"/>
      <c r="TQH3"/>
      <c r="TQI3"/>
      <c r="TQJ3"/>
      <c r="TQK3"/>
      <c r="TQL3"/>
      <c r="TQM3"/>
      <c r="TQN3"/>
      <c r="TQO3"/>
      <c r="TQP3"/>
      <c r="TQQ3"/>
      <c r="TQR3"/>
      <c r="TQS3"/>
      <c r="TQT3"/>
      <c r="TQU3"/>
      <c r="TQV3"/>
      <c r="TQW3"/>
      <c r="TQX3"/>
      <c r="TQY3"/>
      <c r="TQZ3"/>
      <c r="TRA3"/>
      <c r="TRB3"/>
      <c r="TRC3"/>
      <c r="TRD3"/>
      <c r="TRE3"/>
      <c r="TRF3"/>
      <c r="TRG3"/>
      <c r="TRH3"/>
      <c r="TRI3"/>
      <c r="TRJ3"/>
      <c r="TRK3"/>
      <c r="TRL3"/>
      <c r="TRM3"/>
      <c r="TRN3"/>
      <c r="TRO3"/>
      <c r="TRP3"/>
      <c r="TRQ3"/>
      <c r="TRR3"/>
      <c r="TRS3"/>
      <c r="TRT3"/>
      <c r="TRU3"/>
      <c r="TRV3"/>
      <c r="TRW3"/>
      <c r="TRX3"/>
      <c r="TRY3"/>
      <c r="TRZ3"/>
      <c r="TSA3"/>
      <c r="TSB3"/>
      <c r="TSC3"/>
      <c r="TSD3"/>
      <c r="TSE3"/>
      <c r="TSF3"/>
      <c r="TSG3"/>
      <c r="TSH3"/>
      <c r="TSI3"/>
      <c r="TSJ3"/>
      <c r="TSK3"/>
      <c r="TSL3"/>
      <c r="TSM3"/>
      <c r="TSN3"/>
      <c r="TSO3"/>
      <c r="TSP3"/>
      <c r="TSQ3"/>
      <c r="TSR3"/>
      <c r="TSS3"/>
      <c r="TST3"/>
      <c r="TSU3"/>
      <c r="TSV3"/>
      <c r="TSW3"/>
      <c r="TSX3"/>
      <c r="TSY3"/>
      <c r="TSZ3"/>
      <c r="TTA3"/>
      <c r="TTB3"/>
      <c r="TTC3"/>
      <c r="TTD3"/>
      <c r="TTE3"/>
      <c r="TTF3"/>
      <c r="TTG3"/>
      <c r="TTH3"/>
      <c r="TTI3"/>
      <c r="TTJ3"/>
      <c r="TTK3"/>
      <c r="TTL3"/>
      <c r="TTM3"/>
      <c r="TTN3"/>
      <c r="TTO3"/>
      <c r="TTP3"/>
      <c r="TTQ3"/>
      <c r="TTR3"/>
      <c r="TTS3"/>
      <c r="TTT3"/>
      <c r="TTU3"/>
      <c r="TTV3"/>
      <c r="TTW3"/>
      <c r="TTX3"/>
      <c r="TTY3"/>
      <c r="TTZ3"/>
      <c r="TUA3"/>
      <c r="TUB3"/>
      <c r="TUC3"/>
      <c r="TUD3"/>
      <c r="TUE3"/>
      <c r="TUF3"/>
      <c r="TUG3"/>
      <c r="TUH3"/>
      <c r="TUI3"/>
      <c r="TUJ3"/>
      <c r="TUK3"/>
      <c r="TUL3"/>
      <c r="TUM3"/>
      <c r="TUN3"/>
      <c r="TUO3"/>
      <c r="TUP3"/>
      <c r="TUQ3"/>
      <c r="TUR3"/>
      <c r="TUS3"/>
      <c r="TUT3"/>
      <c r="TUU3"/>
      <c r="TUV3"/>
      <c r="TUW3"/>
      <c r="TUX3"/>
      <c r="TUY3"/>
      <c r="TUZ3"/>
      <c r="TVA3"/>
      <c r="TVB3"/>
      <c r="TVC3"/>
      <c r="TVD3"/>
      <c r="TVE3"/>
      <c r="TVF3"/>
      <c r="TVG3"/>
      <c r="TVH3"/>
      <c r="TVI3"/>
      <c r="TVJ3"/>
      <c r="TVK3"/>
      <c r="TVL3"/>
      <c r="TVM3"/>
      <c r="TVN3"/>
      <c r="TVO3"/>
      <c r="TVP3"/>
      <c r="TVQ3"/>
      <c r="TVR3"/>
      <c r="TVS3"/>
      <c r="TVT3"/>
      <c r="TVU3"/>
      <c r="TVV3"/>
      <c r="TVW3"/>
      <c r="TVX3"/>
      <c r="TVY3"/>
      <c r="TVZ3"/>
      <c r="TWA3"/>
      <c r="TWB3"/>
      <c r="TWC3"/>
      <c r="TWD3"/>
      <c r="TWE3"/>
      <c r="TWF3"/>
      <c r="TWG3"/>
      <c r="TWH3"/>
      <c r="TWI3"/>
      <c r="TWJ3"/>
      <c r="TWK3"/>
      <c r="TWL3"/>
      <c r="TWM3"/>
      <c r="TWN3"/>
      <c r="TWO3"/>
      <c r="TWP3"/>
      <c r="TWQ3"/>
      <c r="TWR3"/>
      <c r="TWS3"/>
      <c r="TWT3"/>
      <c r="TWU3"/>
      <c r="TWV3"/>
      <c r="TWW3"/>
      <c r="TWX3"/>
      <c r="TWY3"/>
      <c r="TWZ3"/>
      <c r="TXA3"/>
      <c r="TXB3"/>
      <c r="TXC3"/>
      <c r="TXD3"/>
      <c r="TXE3"/>
      <c r="TXF3"/>
      <c r="TXG3"/>
      <c r="TXH3"/>
      <c r="TXI3"/>
      <c r="TXJ3"/>
      <c r="TXK3"/>
      <c r="TXL3"/>
      <c r="TXM3"/>
      <c r="TXN3"/>
      <c r="TXO3"/>
      <c r="TXP3"/>
      <c r="TXQ3"/>
      <c r="TXR3"/>
      <c r="TXS3"/>
      <c r="TXT3"/>
      <c r="TXU3"/>
      <c r="TXV3"/>
      <c r="TXW3"/>
      <c r="TXX3"/>
      <c r="TXY3"/>
      <c r="TXZ3"/>
      <c r="TYA3"/>
      <c r="TYB3"/>
      <c r="TYC3"/>
      <c r="TYD3"/>
      <c r="TYE3"/>
      <c r="TYF3"/>
      <c r="TYG3"/>
      <c r="TYH3"/>
      <c r="TYI3"/>
      <c r="TYJ3"/>
      <c r="TYK3"/>
      <c r="TYL3"/>
      <c r="TYM3"/>
      <c r="TYN3"/>
      <c r="TYO3"/>
      <c r="TYP3"/>
      <c r="TYQ3"/>
      <c r="TYR3"/>
      <c r="TYS3"/>
      <c r="TYT3"/>
      <c r="TYU3"/>
      <c r="TYV3"/>
      <c r="TYW3"/>
      <c r="TYX3"/>
      <c r="TYY3"/>
      <c r="TYZ3"/>
      <c r="TZA3"/>
      <c r="TZB3"/>
      <c r="TZC3"/>
      <c r="TZD3"/>
      <c r="TZE3"/>
      <c r="TZF3"/>
      <c r="TZG3"/>
      <c r="TZH3"/>
      <c r="TZI3"/>
      <c r="TZJ3"/>
      <c r="TZK3"/>
      <c r="TZL3"/>
      <c r="TZM3"/>
      <c r="TZN3"/>
      <c r="TZO3"/>
      <c r="TZP3"/>
      <c r="TZQ3"/>
      <c r="TZR3"/>
      <c r="TZS3"/>
      <c r="TZT3"/>
      <c r="TZU3"/>
      <c r="TZV3"/>
      <c r="TZW3"/>
      <c r="TZX3"/>
      <c r="TZY3"/>
      <c r="TZZ3"/>
      <c r="UAA3"/>
      <c r="UAB3"/>
      <c r="UAC3"/>
      <c r="UAD3"/>
      <c r="UAE3"/>
      <c r="UAF3"/>
      <c r="UAG3"/>
      <c r="UAH3"/>
      <c r="UAI3"/>
      <c r="UAJ3"/>
      <c r="UAK3"/>
      <c r="UAL3"/>
      <c r="UAM3"/>
      <c r="UAN3"/>
      <c r="UAO3"/>
      <c r="UAP3"/>
      <c r="UAQ3"/>
      <c r="UAR3"/>
      <c r="UAS3"/>
      <c r="UAT3"/>
      <c r="UAU3"/>
      <c r="UAV3"/>
      <c r="UAW3"/>
      <c r="UAX3"/>
      <c r="UAY3"/>
      <c r="UAZ3"/>
      <c r="UBA3"/>
      <c r="UBB3"/>
      <c r="UBC3"/>
      <c r="UBD3"/>
      <c r="UBE3"/>
      <c r="UBF3"/>
      <c r="UBG3"/>
      <c r="UBH3"/>
      <c r="UBI3"/>
      <c r="UBJ3"/>
      <c r="UBK3"/>
      <c r="UBL3"/>
      <c r="UBM3"/>
      <c r="UBN3"/>
      <c r="UBO3"/>
      <c r="UBP3"/>
      <c r="UBQ3"/>
      <c r="UBR3"/>
      <c r="UBS3"/>
      <c r="UBT3"/>
      <c r="UBU3"/>
      <c r="UBV3"/>
      <c r="UBW3"/>
      <c r="UBX3"/>
      <c r="UBY3"/>
      <c r="UBZ3"/>
      <c r="UCA3"/>
      <c r="UCB3"/>
      <c r="UCC3"/>
      <c r="UCD3"/>
      <c r="UCE3"/>
      <c r="UCF3"/>
      <c r="UCG3"/>
      <c r="UCH3"/>
      <c r="UCI3"/>
      <c r="UCJ3"/>
      <c r="UCK3"/>
      <c r="UCL3"/>
      <c r="UCM3"/>
      <c r="UCN3"/>
      <c r="UCO3"/>
      <c r="UCP3"/>
      <c r="UCQ3"/>
      <c r="UCR3"/>
      <c r="UCS3"/>
      <c r="UCT3"/>
      <c r="UCU3"/>
      <c r="UCV3"/>
      <c r="UCW3"/>
      <c r="UCX3"/>
      <c r="UCY3"/>
      <c r="UCZ3"/>
      <c r="UDA3"/>
      <c r="UDB3"/>
      <c r="UDC3"/>
      <c r="UDD3"/>
      <c r="UDE3"/>
      <c r="UDF3"/>
      <c r="UDG3"/>
      <c r="UDH3"/>
      <c r="UDI3"/>
      <c r="UDJ3"/>
      <c r="UDK3"/>
      <c r="UDL3"/>
      <c r="UDM3"/>
      <c r="UDN3"/>
      <c r="UDO3"/>
      <c r="UDP3"/>
      <c r="UDQ3"/>
      <c r="UDR3"/>
      <c r="UDS3"/>
      <c r="UDT3"/>
      <c r="UDU3"/>
      <c r="UDV3"/>
      <c r="UDW3"/>
      <c r="UDX3"/>
      <c r="UDY3"/>
      <c r="UDZ3"/>
      <c r="UEA3"/>
      <c r="UEB3"/>
      <c r="UEC3"/>
      <c r="UED3"/>
      <c r="UEE3"/>
      <c r="UEF3"/>
      <c r="UEG3"/>
      <c r="UEH3"/>
      <c r="UEI3"/>
      <c r="UEJ3"/>
      <c r="UEK3"/>
      <c r="UEL3"/>
      <c r="UEM3"/>
      <c r="UEN3"/>
      <c r="UEO3"/>
      <c r="UEP3"/>
      <c r="UEQ3"/>
      <c r="UER3"/>
      <c r="UES3"/>
      <c r="UET3"/>
      <c r="UEU3"/>
      <c r="UEV3"/>
      <c r="UEW3"/>
      <c r="UEX3"/>
      <c r="UEY3"/>
      <c r="UEZ3"/>
      <c r="UFA3"/>
      <c r="UFB3"/>
      <c r="UFC3"/>
      <c r="UFD3"/>
      <c r="UFE3"/>
      <c r="UFF3"/>
      <c r="UFG3"/>
      <c r="UFH3"/>
      <c r="UFI3"/>
      <c r="UFJ3"/>
      <c r="UFK3"/>
      <c r="UFL3"/>
      <c r="UFM3"/>
      <c r="UFN3"/>
      <c r="UFO3"/>
      <c r="UFP3"/>
      <c r="UFQ3"/>
      <c r="UFR3"/>
      <c r="UFS3"/>
      <c r="UFT3"/>
      <c r="UFU3"/>
      <c r="UFV3"/>
      <c r="UFW3"/>
      <c r="UFX3"/>
      <c r="UFY3"/>
      <c r="UFZ3"/>
      <c r="UGA3"/>
      <c r="UGB3"/>
      <c r="UGC3"/>
      <c r="UGD3"/>
      <c r="UGE3"/>
      <c r="UGF3"/>
      <c r="UGG3"/>
      <c r="UGH3"/>
      <c r="UGI3"/>
      <c r="UGJ3"/>
      <c r="UGK3"/>
      <c r="UGL3"/>
      <c r="UGM3"/>
      <c r="UGN3"/>
      <c r="UGO3"/>
      <c r="UGP3"/>
      <c r="UGQ3"/>
      <c r="UGR3"/>
      <c r="UGS3"/>
      <c r="UGT3"/>
      <c r="UGU3"/>
      <c r="UGV3"/>
      <c r="UGW3"/>
      <c r="UGX3"/>
      <c r="UGY3"/>
      <c r="UGZ3"/>
      <c r="UHA3"/>
      <c r="UHB3"/>
      <c r="UHC3"/>
      <c r="UHD3"/>
      <c r="UHE3"/>
      <c r="UHF3"/>
      <c r="UHG3"/>
      <c r="UHH3"/>
      <c r="UHI3"/>
      <c r="UHJ3"/>
      <c r="UHK3"/>
      <c r="UHL3"/>
      <c r="UHM3"/>
      <c r="UHN3"/>
      <c r="UHO3"/>
      <c r="UHP3"/>
      <c r="UHQ3"/>
      <c r="UHR3"/>
      <c r="UHS3"/>
      <c r="UHT3"/>
      <c r="UHU3"/>
      <c r="UHV3"/>
      <c r="UHW3"/>
      <c r="UHX3"/>
      <c r="UHY3"/>
      <c r="UHZ3"/>
      <c r="UIA3"/>
      <c r="UIB3"/>
      <c r="UIC3"/>
      <c r="UID3"/>
      <c r="UIE3"/>
      <c r="UIF3"/>
      <c r="UIG3"/>
      <c r="UIH3"/>
      <c r="UII3"/>
      <c r="UIJ3"/>
      <c r="UIK3"/>
      <c r="UIL3"/>
      <c r="UIM3"/>
      <c r="UIN3"/>
      <c r="UIO3"/>
      <c r="UIP3"/>
      <c r="UIQ3"/>
      <c r="UIR3"/>
      <c r="UIS3"/>
      <c r="UIT3"/>
      <c r="UIU3"/>
      <c r="UIV3"/>
      <c r="UIW3"/>
      <c r="UIX3"/>
      <c r="UIY3"/>
      <c r="UIZ3"/>
      <c r="UJA3"/>
      <c r="UJB3"/>
      <c r="UJC3"/>
      <c r="UJD3"/>
      <c r="UJE3"/>
      <c r="UJF3"/>
      <c r="UJG3"/>
      <c r="UJH3"/>
      <c r="UJI3"/>
      <c r="UJJ3"/>
      <c r="UJK3"/>
      <c r="UJL3"/>
      <c r="UJM3"/>
      <c r="UJN3"/>
      <c r="UJO3"/>
      <c r="UJP3"/>
      <c r="UJQ3"/>
      <c r="UJR3"/>
      <c r="UJS3"/>
      <c r="UJT3"/>
      <c r="UJU3"/>
      <c r="UJV3"/>
      <c r="UJW3"/>
      <c r="UJX3"/>
      <c r="UJY3"/>
      <c r="UJZ3"/>
      <c r="UKA3"/>
      <c r="UKB3"/>
      <c r="UKC3"/>
      <c r="UKD3"/>
      <c r="UKE3"/>
      <c r="UKF3"/>
      <c r="UKG3"/>
      <c r="UKH3"/>
      <c r="UKI3"/>
      <c r="UKJ3"/>
      <c r="UKK3"/>
      <c r="UKL3"/>
      <c r="UKM3"/>
      <c r="UKN3"/>
      <c r="UKO3"/>
      <c r="UKP3"/>
      <c r="UKQ3"/>
      <c r="UKR3"/>
      <c r="UKS3"/>
      <c r="UKT3"/>
      <c r="UKU3"/>
      <c r="UKV3"/>
      <c r="UKW3"/>
      <c r="UKX3"/>
      <c r="UKY3"/>
      <c r="UKZ3"/>
      <c r="ULA3"/>
      <c r="ULB3"/>
      <c r="ULC3"/>
      <c r="ULD3"/>
      <c r="ULE3"/>
      <c r="ULF3"/>
      <c r="ULG3"/>
      <c r="ULH3"/>
      <c r="ULI3"/>
      <c r="ULJ3"/>
      <c r="ULK3"/>
      <c r="ULL3"/>
      <c r="ULM3"/>
      <c r="ULN3"/>
      <c r="ULO3"/>
      <c r="ULP3"/>
      <c r="ULQ3"/>
      <c r="ULR3"/>
      <c r="ULS3"/>
      <c r="ULT3"/>
      <c r="ULU3"/>
      <c r="ULV3"/>
      <c r="ULW3"/>
      <c r="ULX3"/>
      <c r="ULY3"/>
      <c r="ULZ3"/>
      <c r="UMA3"/>
      <c r="UMB3"/>
      <c r="UMC3"/>
      <c r="UMD3"/>
      <c r="UME3"/>
      <c r="UMF3"/>
      <c r="UMG3"/>
      <c r="UMH3"/>
      <c r="UMI3"/>
      <c r="UMJ3"/>
      <c r="UMK3"/>
      <c r="UML3"/>
      <c r="UMM3"/>
      <c r="UMN3"/>
      <c r="UMO3"/>
      <c r="UMP3"/>
      <c r="UMQ3"/>
      <c r="UMR3"/>
      <c r="UMS3"/>
      <c r="UMT3"/>
      <c r="UMU3"/>
      <c r="UMV3"/>
      <c r="UMW3"/>
      <c r="UMX3"/>
      <c r="UMY3"/>
      <c r="UMZ3"/>
      <c r="UNA3"/>
      <c r="UNB3"/>
      <c r="UNC3"/>
      <c r="UND3"/>
      <c r="UNE3"/>
      <c r="UNF3"/>
      <c r="UNG3"/>
      <c r="UNH3"/>
      <c r="UNI3"/>
      <c r="UNJ3"/>
      <c r="UNK3"/>
      <c r="UNL3"/>
      <c r="UNM3"/>
      <c r="UNN3"/>
      <c r="UNO3"/>
      <c r="UNP3"/>
      <c r="UNQ3"/>
      <c r="UNR3"/>
      <c r="UNS3"/>
      <c r="UNT3"/>
      <c r="UNU3"/>
      <c r="UNV3"/>
      <c r="UNW3"/>
      <c r="UNX3"/>
      <c r="UNY3"/>
      <c r="UNZ3"/>
      <c r="UOA3"/>
      <c r="UOB3"/>
      <c r="UOC3"/>
      <c r="UOD3"/>
      <c r="UOE3"/>
      <c r="UOF3"/>
      <c r="UOG3"/>
      <c r="UOH3"/>
      <c r="UOI3"/>
      <c r="UOJ3"/>
      <c r="UOK3"/>
      <c r="UOL3"/>
      <c r="UOM3"/>
      <c r="UON3"/>
      <c r="UOO3"/>
      <c r="UOP3"/>
      <c r="UOQ3"/>
      <c r="UOR3"/>
      <c r="UOS3"/>
      <c r="UOT3"/>
      <c r="UOU3"/>
      <c r="UOV3"/>
      <c r="UOW3"/>
      <c r="UOX3"/>
      <c r="UOY3"/>
      <c r="UOZ3"/>
      <c r="UPA3"/>
      <c r="UPB3"/>
      <c r="UPC3"/>
      <c r="UPD3"/>
      <c r="UPE3"/>
      <c r="UPF3"/>
      <c r="UPG3"/>
      <c r="UPH3"/>
      <c r="UPI3"/>
      <c r="UPJ3"/>
      <c r="UPK3"/>
      <c r="UPL3"/>
      <c r="UPM3"/>
      <c r="UPN3"/>
      <c r="UPO3"/>
      <c r="UPP3"/>
      <c r="UPQ3"/>
      <c r="UPR3"/>
      <c r="UPS3"/>
      <c r="UPT3"/>
      <c r="UPU3"/>
      <c r="UPV3"/>
      <c r="UPW3"/>
      <c r="UPX3"/>
      <c r="UPY3"/>
      <c r="UPZ3"/>
      <c r="UQA3"/>
      <c r="UQB3"/>
      <c r="UQC3"/>
      <c r="UQD3"/>
      <c r="UQE3"/>
      <c r="UQF3"/>
      <c r="UQG3"/>
      <c r="UQH3"/>
      <c r="UQI3"/>
      <c r="UQJ3"/>
      <c r="UQK3"/>
      <c r="UQL3"/>
      <c r="UQM3"/>
      <c r="UQN3"/>
      <c r="UQO3"/>
      <c r="UQP3"/>
      <c r="UQQ3"/>
      <c r="UQR3"/>
      <c r="UQS3"/>
      <c r="UQT3"/>
      <c r="UQU3"/>
      <c r="UQV3"/>
      <c r="UQW3"/>
      <c r="UQX3"/>
      <c r="UQY3"/>
      <c r="UQZ3"/>
      <c r="URA3"/>
      <c r="URB3"/>
      <c r="URC3"/>
      <c r="URD3"/>
      <c r="URE3"/>
      <c r="URF3"/>
      <c r="URG3"/>
      <c r="URH3"/>
      <c r="URI3"/>
      <c r="URJ3"/>
      <c r="URK3"/>
      <c r="URL3"/>
      <c r="URM3"/>
      <c r="URN3"/>
      <c r="URO3"/>
      <c r="URP3"/>
      <c r="URQ3"/>
      <c r="URR3"/>
      <c r="URS3"/>
      <c r="URT3"/>
      <c r="URU3"/>
      <c r="URV3"/>
      <c r="URW3"/>
      <c r="URX3"/>
      <c r="URY3"/>
      <c r="URZ3"/>
      <c r="USA3"/>
      <c r="USB3"/>
      <c r="USC3"/>
      <c r="USD3"/>
      <c r="USE3"/>
      <c r="USF3"/>
      <c r="USG3"/>
      <c r="USH3"/>
      <c r="USI3"/>
      <c r="USJ3"/>
      <c r="USK3"/>
      <c r="USL3"/>
      <c r="USM3"/>
      <c r="USN3"/>
      <c r="USO3"/>
      <c r="USP3"/>
      <c r="USQ3"/>
      <c r="USR3"/>
      <c r="USS3"/>
      <c r="UST3"/>
      <c r="USU3"/>
      <c r="USV3"/>
      <c r="USW3"/>
      <c r="USX3"/>
      <c r="USY3"/>
      <c r="USZ3"/>
      <c r="UTA3"/>
      <c r="UTB3"/>
      <c r="UTC3"/>
      <c r="UTD3"/>
      <c r="UTE3"/>
      <c r="UTF3"/>
      <c r="UTG3"/>
      <c r="UTH3"/>
      <c r="UTI3"/>
      <c r="UTJ3"/>
      <c r="UTK3"/>
      <c r="UTL3"/>
      <c r="UTM3"/>
      <c r="UTN3"/>
      <c r="UTO3"/>
      <c r="UTP3"/>
      <c r="UTQ3"/>
      <c r="UTR3"/>
      <c r="UTS3"/>
      <c r="UTT3"/>
      <c r="UTU3"/>
      <c r="UTV3"/>
      <c r="UTW3"/>
      <c r="UTX3"/>
      <c r="UTY3"/>
      <c r="UTZ3"/>
      <c r="UUA3"/>
      <c r="UUB3"/>
      <c r="UUC3"/>
      <c r="UUD3"/>
      <c r="UUE3"/>
      <c r="UUF3"/>
      <c r="UUG3"/>
      <c r="UUH3"/>
      <c r="UUI3"/>
      <c r="UUJ3"/>
      <c r="UUK3"/>
      <c r="UUL3"/>
      <c r="UUM3"/>
      <c r="UUN3"/>
      <c r="UUO3"/>
      <c r="UUP3"/>
      <c r="UUQ3"/>
      <c r="UUR3"/>
      <c r="UUS3"/>
      <c r="UUT3"/>
      <c r="UUU3"/>
      <c r="UUV3"/>
      <c r="UUW3"/>
      <c r="UUX3"/>
      <c r="UUY3"/>
      <c r="UUZ3"/>
      <c r="UVA3"/>
      <c r="UVB3"/>
      <c r="UVC3"/>
      <c r="UVD3"/>
      <c r="UVE3"/>
      <c r="UVF3"/>
      <c r="UVG3"/>
      <c r="UVH3"/>
      <c r="UVI3"/>
      <c r="UVJ3"/>
      <c r="UVK3"/>
      <c r="UVL3"/>
      <c r="UVM3"/>
      <c r="UVN3"/>
      <c r="UVO3"/>
      <c r="UVP3"/>
      <c r="UVQ3"/>
      <c r="UVR3"/>
      <c r="UVS3"/>
      <c r="UVT3"/>
      <c r="UVU3"/>
      <c r="UVV3"/>
      <c r="UVW3"/>
      <c r="UVX3"/>
      <c r="UVY3"/>
      <c r="UVZ3"/>
      <c r="UWA3"/>
      <c r="UWB3"/>
      <c r="UWC3"/>
      <c r="UWD3"/>
      <c r="UWE3"/>
      <c r="UWF3"/>
      <c r="UWG3"/>
      <c r="UWH3"/>
      <c r="UWI3"/>
      <c r="UWJ3"/>
      <c r="UWK3"/>
      <c r="UWL3"/>
      <c r="UWM3"/>
      <c r="UWN3"/>
      <c r="UWO3"/>
      <c r="UWP3"/>
      <c r="UWQ3"/>
      <c r="UWR3"/>
      <c r="UWS3"/>
      <c r="UWT3"/>
      <c r="UWU3"/>
      <c r="UWV3"/>
      <c r="UWW3"/>
      <c r="UWX3"/>
      <c r="UWY3"/>
      <c r="UWZ3"/>
      <c r="UXA3"/>
      <c r="UXB3"/>
      <c r="UXC3"/>
      <c r="UXD3"/>
      <c r="UXE3"/>
      <c r="UXF3"/>
      <c r="UXG3"/>
      <c r="UXH3"/>
      <c r="UXI3"/>
      <c r="UXJ3"/>
      <c r="UXK3"/>
      <c r="UXL3"/>
      <c r="UXM3"/>
      <c r="UXN3"/>
      <c r="UXO3"/>
      <c r="UXP3"/>
      <c r="UXQ3"/>
      <c r="UXR3"/>
      <c r="UXS3"/>
      <c r="UXT3"/>
      <c r="UXU3"/>
      <c r="UXV3"/>
      <c r="UXW3"/>
      <c r="UXX3"/>
      <c r="UXY3"/>
      <c r="UXZ3"/>
      <c r="UYA3"/>
      <c r="UYB3"/>
      <c r="UYC3"/>
      <c r="UYD3"/>
      <c r="UYE3"/>
      <c r="UYF3"/>
      <c r="UYG3"/>
      <c r="UYH3"/>
      <c r="UYI3"/>
      <c r="UYJ3"/>
      <c r="UYK3"/>
      <c r="UYL3"/>
      <c r="UYM3"/>
      <c r="UYN3"/>
      <c r="UYO3"/>
      <c r="UYP3"/>
      <c r="UYQ3"/>
      <c r="UYR3"/>
      <c r="UYS3"/>
      <c r="UYT3"/>
      <c r="UYU3"/>
      <c r="UYV3"/>
      <c r="UYW3"/>
      <c r="UYX3"/>
      <c r="UYY3"/>
      <c r="UYZ3"/>
      <c r="UZA3"/>
      <c r="UZB3"/>
      <c r="UZC3"/>
      <c r="UZD3"/>
      <c r="UZE3"/>
      <c r="UZF3"/>
      <c r="UZG3"/>
      <c r="UZH3"/>
      <c r="UZI3"/>
      <c r="UZJ3"/>
      <c r="UZK3"/>
      <c r="UZL3"/>
      <c r="UZM3"/>
      <c r="UZN3"/>
      <c r="UZO3"/>
      <c r="UZP3"/>
      <c r="UZQ3"/>
      <c r="UZR3"/>
      <c r="UZS3"/>
      <c r="UZT3"/>
      <c r="UZU3"/>
      <c r="UZV3"/>
      <c r="UZW3"/>
      <c r="UZX3"/>
      <c r="UZY3"/>
      <c r="UZZ3"/>
      <c r="VAA3"/>
      <c r="VAB3"/>
      <c r="VAC3"/>
      <c r="VAD3"/>
      <c r="VAE3"/>
      <c r="VAF3"/>
      <c r="VAG3"/>
      <c r="VAH3"/>
      <c r="VAI3"/>
      <c r="VAJ3"/>
      <c r="VAK3"/>
      <c r="VAL3"/>
      <c r="VAM3"/>
      <c r="VAN3"/>
      <c r="VAO3"/>
      <c r="VAP3"/>
      <c r="VAQ3"/>
      <c r="VAR3"/>
      <c r="VAS3"/>
      <c r="VAT3"/>
      <c r="VAU3"/>
      <c r="VAV3"/>
      <c r="VAW3"/>
      <c r="VAX3"/>
      <c r="VAY3"/>
      <c r="VAZ3"/>
      <c r="VBA3"/>
      <c r="VBB3"/>
      <c r="VBC3"/>
      <c r="VBD3"/>
      <c r="VBE3"/>
      <c r="VBF3"/>
      <c r="VBG3"/>
      <c r="VBH3"/>
      <c r="VBI3"/>
      <c r="VBJ3"/>
      <c r="VBK3"/>
      <c r="VBL3"/>
      <c r="VBM3"/>
      <c r="VBN3"/>
      <c r="VBO3"/>
      <c r="VBP3"/>
      <c r="VBQ3"/>
      <c r="VBR3"/>
      <c r="VBS3"/>
      <c r="VBT3"/>
      <c r="VBU3"/>
      <c r="VBV3"/>
      <c r="VBW3"/>
      <c r="VBX3"/>
      <c r="VBY3"/>
      <c r="VBZ3"/>
      <c r="VCA3"/>
      <c r="VCB3"/>
      <c r="VCC3"/>
      <c r="VCD3"/>
      <c r="VCE3"/>
      <c r="VCF3"/>
      <c r="VCG3"/>
      <c r="VCH3"/>
      <c r="VCI3"/>
      <c r="VCJ3"/>
      <c r="VCK3"/>
      <c r="VCL3"/>
      <c r="VCM3"/>
      <c r="VCN3"/>
      <c r="VCO3"/>
      <c r="VCP3"/>
      <c r="VCQ3"/>
      <c r="VCR3"/>
      <c r="VCS3"/>
      <c r="VCT3"/>
      <c r="VCU3"/>
      <c r="VCV3"/>
      <c r="VCW3"/>
      <c r="VCX3"/>
      <c r="VCY3"/>
      <c r="VCZ3"/>
      <c r="VDA3"/>
      <c r="VDB3"/>
      <c r="VDC3"/>
      <c r="VDD3"/>
      <c r="VDE3"/>
      <c r="VDF3"/>
      <c r="VDG3"/>
      <c r="VDH3"/>
      <c r="VDI3"/>
      <c r="VDJ3"/>
      <c r="VDK3"/>
      <c r="VDL3"/>
      <c r="VDM3"/>
      <c r="VDN3"/>
      <c r="VDO3"/>
      <c r="VDP3"/>
      <c r="VDQ3"/>
      <c r="VDR3"/>
      <c r="VDS3"/>
      <c r="VDT3"/>
      <c r="VDU3"/>
      <c r="VDV3"/>
      <c r="VDW3"/>
      <c r="VDX3"/>
      <c r="VDY3"/>
      <c r="VDZ3"/>
      <c r="VEA3"/>
      <c r="VEB3"/>
      <c r="VEC3"/>
      <c r="VED3"/>
      <c r="VEE3"/>
      <c r="VEF3"/>
      <c r="VEG3"/>
      <c r="VEH3"/>
      <c r="VEI3"/>
      <c r="VEJ3"/>
      <c r="VEK3"/>
      <c r="VEL3"/>
      <c r="VEM3"/>
      <c r="VEN3"/>
      <c r="VEO3"/>
      <c r="VEP3"/>
      <c r="VEQ3"/>
      <c r="VER3"/>
      <c r="VES3"/>
      <c r="VET3"/>
      <c r="VEU3"/>
      <c r="VEV3"/>
      <c r="VEW3"/>
      <c r="VEX3"/>
      <c r="VEY3"/>
      <c r="VEZ3"/>
      <c r="VFA3"/>
      <c r="VFB3"/>
      <c r="VFC3"/>
      <c r="VFD3"/>
      <c r="VFE3"/>
      <c r="VFF3"/>
      <c r="VFG3"/>
      <c r="VFH3"/>
      <c r="VFI3"/>
      <c r="VFJ3"/>
      <c r="VFK3"/>
      <c r="VFL3"/>
      <c r="VFM3"/>
      <c r="VFN3"/>
      <c r="VFO3"/>
      <c r="VFP3"/>
      <c r="VFQ3"/>
      <c r="VFR3"/>
      <c r="VFS3"/>
      <c r="VFT3"/>
      <c r="VFU3"/>
      <c r="VFV3"/>
      <c r="VFW3"/>
      <c r="VFX3"/>
      <c r="VFY3"/>
      <c r="VFZ3"/>
      <c r="VGA3"/>
      <c r="VGB3"/>
      <c r="VGC3"/>
      <c r="VGD3"/>
      <c r="VGE3"/>
      <c r="VGF3"/>
      <c r="VGG3"/>
      <c r="VGH3"/>
      <c r="VGI3"/>
      <c r="VGJ3"/>
      <c r="VGK3"/>
      <c r="VGL3"/>
      <c r="VGM3"/>
      <c r="VGN3"/>
      <c r="VGO3"/>
      <c r="VGP3"/>
      <c r="VGQ3"/>
      <c r="VGR3"/>
      <c r="VGS3"/>
      <c r="VGT3"/>
      <c r="VGU3"/>
      <c r="VGV3"/>
      <c r="VGW3"/>
      <c r="VGX3"/>
      <c r="VGY3"/>
      <c r="VGZ3"/>
      <c r="VHA3"/>
      <c r="VHB3"/>
      <c r="VHC3"/>
      <c r="VHD3"/>
      <c r="VHE3"/>
      <c r="VHF3"/>
      <c r="VHG3"/>
      <c r="VHH3"/>
      <c r="VHI3"/>
      <c r="VHJ3"/>
      <c r="VHK3"/>
      <c r="VHL3"/>
      <c r="VHM3"/>
      <c r="VHN3"/>
      <c r="VHO3"/>
      <c r="VHP3"/>
      <c r="VHQ3"/>
      <c r="VHR3"/>
      <c r="VHS3"/>
      <c r="VHT3"/>
      <c r="VHU3"/>
      <c r="VHV3"/>
      <c r="VHW3"/>
      <c r="VHX3"/>
      <c r="VHY3"/>
      <c r="VHZ3"/>
      <c r="VIA3"/>
      <c r="VIB3"/>
      <c r="VIC3"/>
      <c r="VID3"/>
      <c r="VIE3"/>
      <c r="VIF3"/>
      <c r="VIG3"/>
      <c r="VIH3"/>
      <c r="VII3"/>
      <c r="VIJ3"/>
      <c r="VIK3"/>
      <c r="VIL3"/>
      <c r="VIM3"/>
      <c r="VIN3"/>
      <c r="VIO3"/>
      <c r="VIP3"/>
      <c r="VIQ3"/>
      <c r="VIR3"/>
      <c r="VIS3"/>
      <c r="VIT3"/>
      <c r="VIU3"/>
      <c r="VIV3"/>
      <c r="VIW3"/>
      <c r="VIX3"/>
      <c r="VIY3"/>
      <c r="VIZ3"/>
      <c r="VJA3"/>
      <c r="VJB3"/>
      <c r="VJC3"/>
      <c r="VJD3"/>
      <c r="VJE3"/>
      <c r="VJF3"/>
      <c r="VJG3"/>
      <c r="VJH3"/>
      <c r="VJI3"/>
      <c r="VJJ3"/>
      <c r="VJK3"/>
      <c r="VJL3"/>
      <c r="VJM3"/>
      <c r="VJN3"/>
      <c r="VJO3"/>
      <c r="VJP3"/>
      <c r="VJQ3"/>
      <c r="VJR3"/>
      <c r="VJS3"/>
      <c r="VJT3"/>
      <c r="VJU3"/>
      <c r="VJV3"/>
      <c r="VJW3"/>
      <c r="VJX3"/>
      <c r="VJY3"/>
      <c r="VJZ3"/>
      <c r="VKA3"/>
      <c r="VKB3"/>
      <c r="VKC3"/>
      <c r="VKD3"/>
      <c r="VKE3"/>
      <c r="VKF3"/>
      <c r="VKG3"/>
      <c r="VKH3"/>
      <c r="VKI3"/>
      <c r="VKJ3"/>
      <c r="VKK3"/>
      <c r="VKL3"/>
      <c r="VKM3"/>
      <c r="VKN3"/>
      <c r="VKO3"/>
      <c r="VKP3"/>
      <c r="VKQ3"/>
      <c r="VKR3"/>
      <c r="VKS3"/>
      <c r="VKT3"/>
      <c r="VKU3"/>
      <c r="VKV3"/>
      <c r="VKW3"/>
      <c r="VKX3"/>
      <c r="VKY3"/>
      <c r="VKZ3"/>
      <c r="VLA3"/>
      <c r="VLB3"/>
      <c r="VLC3"/>
      <c r="VLD3"/>
      <c r="VLE3"/>
      <c r="VLF3"/>
      <c r="VLG3"/>
      <c r="VLH3"/>
      <c r="VLI3"/>
      <c r="VLJ3"/>
      <c r="VLK3"/>
      <c r="VLL3"/>
      <c r="VLM3"/>
      <c r="VLN3"/>
      <c r="VLO3"/>
      <c r="VLP3"/>
      <c r="VLQ3"/>
      <c r="VLR3"/>
      <c r="VLS3"/>
      <c r="VLT3"/>
      <c r="VLU3"/>
      <c r="VLV3"/>
      <c r="VLW3"/>
      <c r="VLX3"/>
      <c r="VLY3"/>
      <c r="VLZ3"/>
      <c r="VMA3"/>
      <c r="VMB3"/>
      <c r="VMC3"/>
      <c r="VMD3"/>
      <c r="VME3"/>
      <c r="VMF3"/>
      <c r="VMG3"/>
      <c r="VMH3"/>
      <c r="VMI3"/>
      <c r="VMJ3"/>
      <c r="VMK3"/>
      <c r="VML3"/>
      <c r="VMM3"/>
      <c r="VMN3"/>
      <c r="VMO3"/>
      <c r="VMP3"/>
      <c r="VMQ3"/>
      <c r="VMR3"/>
      <c r="VMS3"/>
      <c r="VMT3"/>
      <c r="VMU3"/>
      <c r="VMV3"/>
      <c r="VMW3"/>
      <c r="VMX3"/>
      <c r="VMY3"/>
      <c r="VMZ3"/>
      <c r="VNA3"/>
      <c r="VNB3"/>
      <c r="VNC3"/>
      <c r="VND3"/>
      <c r="VNE3"/>
      <c r="VNF3"/>
      <c r="VNG3"/>
      <c r="VNH3"/>
      <c r="VNI3"/>
      <c r="VNJ3"/>
      <c r="VNK3"/>
      <c r="VNL3"/>
      <c r="VNM3"/>
      <c r="VNN3"/>
      <c r="VNO3"/>
      <c r="VNP3"/>
      <c r="VNQ3"/>
      <c r="VNR3"/>
      <c r="VNS3"/>
      <c r="VNT3"/>
      <c r="VNU3"/>
      <c r="VNV3"/>
      <c r="VNW3"/>
      <c r="VNX3"/>
      <c r="VNY3"/>
      <c r="VNZ3"/>
      <c r="VOA3"/>
      <c r="VOB3"/>
      <c r="VOC3"/>
      <c r="VOD3"/>
      <c r="VOE3"/>
      <c r="VOF3"/>
      <c r="VOG3"/>
      <c r="VOH3"/>
      <c r="VOI3"/>
      <c r="VOJ3"/>
      <c r="VOK3"/>
      <c r="VOL3"/>
      <c r="VOM3"/>
      <c r="VON3"/>
      <c r="VOO3"/>
      <c r="VOP3"/>
      <c r="VOQ3"/>
      <c r="VOR3"/>
      <c r="VOS3"/>
      <c r="VOT3"/>
      <c r="VOU3"/>
      <c r="VOV3"/>
      <c r="VOW3"/>
      <c r="VOX3"/>
      <c r="VOY3"/>
      <c r="VOZ3"/>
      <c r="VPA3"/>
      <c r="VPB3"/>
      <c r="VPC3"/>
      <c r="VPD3"/>
      <c r="VPE3"/>
      <c r="VPF3"/>
      <c r="VPG3"/>
      <c r="VPH3"/>
      <c r="VPI3"/>
      <c r="VPJ3"/>
      <c r="VPK3"/>
      <c r="VPL3"/>
      <c r="VPM3"/>
      <c r="VPN3"/>
      <c r="VPO3"/>
      <c r="VPP3"/>
      <c r="VPQ3"/>
      <c r="VPR3"/>
      <c r="VPS3"/>
      <c r="VPT3"/>
      <c r="VPU3"/>
      <c r="VPV3"/>
      <c r="VPW3"/>
      <c r="VPX3"/>
      <c r="VPY3"/>
      <c r="VPZ3"/>
      <c r="VQA3"/>
      <c r="VQB3"/>
      <c r="VQC3"/>
      <c r="VQD3"/>
      <c r="VQE3"/>
      <c r="VQF3"/>
      <c r="VQG3"/>
      <c r="VQH3"/>
      <c r="VQI3"/>
      <c r="VQJ3"/>
      <c r="VQK3"/>
      <c r="VQL3"/>
      <c r="VQM3"/>
      <c r="VQN3"/>
      <c r="VQO3"/>
      <c r="VQP3"/>
      <c r="VQQ3"/>
      <c r="VQR3"/>
      <c r="VQS3"/>
      <c r="VQT3"/>
      <c r="VQU3"/>
      <c r="VQV3"/>
      <c r="VQW3"/>
      <c r="VQX3"/>
      <c r="VQY3"/>
      <c r="VQZ3"/>
      <c r="VRA3"/>
      <c r="VRB3"/>
      <c r="VRC3"/>
      <c r="VRD3"/>
      <c r="VRE3"/>
      <c r="VRF3"/>
      <c r="VRG3"/>
      <c r="VRH3"/>
      <c r="VRI3"/>
      <c r="VRJ3"/>
      <c r="VRK3"/>
      <c r="VRL3"/>
      <c r="VRM3"/>
      <c r="VRN3"/>
      <c r="VRO3"/>
      <c r="VRP3"/>
      <c r="VRQ3"/>
      <c r="VRR3"/>
      <c r="VRS3"/>
      <c r="VRT3"/>
      <c r="VRU3"/>
      <c r="VRV3"/>
      <c r="VRW3"/>
      <c r="VRX3"/>
      <c r="VRY3"/>
      <c r="VRZ3"/>
      <c r="VSA3"/>
      <c r="VSB3"/>
      <c r="VSC3"/>
      <c r="VSD3"/>
      <c r="VSE3"/>
      <c r="VSF3"/>
      <c r="VSG3"/>
      <c r="VSH3"/>
      <c r="VSI3"/>
      <c r="VSJ3"/>
      <c r="VSK3"/>
      <c r="VSL3"/>
      <c r="VSM3"/>
      <c r="VSN3"/>
      <c r="VSO3"/>
      <c r="VSP3"/>
      <c r="VSQ3"/>
      <c r="VSR3"/>
      <c r="VSS3"/>
      <c r="VST3"/>
      <c r="VSU3"/>
      <c r="VSV3"/>
      <c r="VSW3"/>
      <c r="VSX3"/>
      <c r="VSY3"/>
      <c r="VSZ3"/>
      <c r="VTA3"/>
      <c r="VTB3"/>
      <c r="VTC3"/>
      <c r="VTD3"/>
      <c r="VTE3"/>
      <c r="VTF3"/>
      <c r="VTG3"/>
      <c r="VTH3"/>
      <c r="VTI3"/>
      <c r="VTJ3"/>
      <c r="VTK3"/>
      <c r="VTL3"/>
      <c r="VTM3"/>
      <c r="VTN3"/>
      <c r="VTO3"/>
      <c r="VTP3"/>
      <c r="VTQ3"/>
      <c r="VTR3"/>
      <c r="VTS3"/>
      <c r="VTT3"/>
      <c r="VTU3"/>
      <c r="VTV3"/>
      <c r="VTW3"/>
      <c r="VTX3"/>
      <c r="VTY3"/>
      <c r="VTZ3"/>
      <c r="VUA3"/>
      <c r="VUB3"/>
      <c r="VUC3"/>
      <c r="VUD3"/>
      <c r="VUE3"/>
      <c r="VUF3"/>
      <c r="VUG3"/>
      <c r="VUH3"/>
      <c r="VUI3"/>
      <c r="VUJ3"/>
      <c r="VUK3"/>
      <c r="VUL3"/>
      <c r="VUM3"/>
      <c r="VUN3"/>
      <c r="VUO3"/>
      <c r="VUP3"/>
      <c r="VUQ3"/>
      <c r="VUR3"/>
      <c r="VUS3"/>
      <c r="VUT3"/>
      <c r="VUU3"/>
      <c r="VUV3"/>
      <c r="VUW3"/>
      <c r="VUX3"/>
      <c r="VUY3"/>
      <c r="VUZ3"/>
      <c r="VVA3"/>
      <c r="VVB3"/>
      <c r="VVC3"/>
      <c r="VVD3"/>
      <c r="VVE3"/>
      <c r="VVF3"/>
      <c r="VVG3"/>
      <c r="VVH3"/>
      <c r="VVI3"/>
      <c r="VVJ3"/>
      <c r="VVK3"/>
      <c r="VVL3"/>
      <c r="VVM3"/>
      <c r="VVN3"/>
      <c r="VVO3"/>
      <c r="VVP3"/>
      <c r="VVQ3"/>
      <c r="VVR3"/>
      <c r="VVS3"/>
      <c r="VVT3"/>
      <c r="VVU3"/>
      <c r="VVV3"/>
      <c r="VVW3"/>
      <c r="VVX3"/>
      <c r="VVY3"/>
      <c r="VVZ3"/>
      <c r="VWA3"/>
      <c r="VWB3"/>
      <c r="VWC3"/>
      <c r="VWD3"/>
      <c r="VWE3"/>
      <c r="VWF3"/>
      <c r="VWG3"/>
      <c r="VWH3"/>
      <c r="VWI3"/>
      <c r="VWJ3"/>
      <c r="VWK3"/>
      <c r="VWL3"/>
      <c r="VWM3"/>
      <c r="VWN3"/>
      <c r="VWO3"/>
      <c r="VWP3"/>
      <c r="VWQ3"/>
      <c r="VWR3"/>
      <c r="VWS3"/>
      <c r="VWT3"/>
      <c r="VWU3"/>
      <c r="VWV3"/>
      <c r="VWW3"/>
      <c r="VWX3"/>
      <c r="VWY3"/>
      <c r="VWZ3"/>
      <c r="VXA3"/>
      <c r="VXB3"/>
      <c r="VXC3"/>
      <c r="VXD3"/>
      <c r="VXE3"/>
      <c r="VXF3"/>
      <c r="VXG3"/>
      <c r="VXH3"/>
      <c r="VXI3"/>
      <c r="VXJ3"/>
      <c r="VXK3"/>
      <c r="VXL3"/>
      <c r="VXM3"/>
      <c r="VXN3"/>
      <c r="VXO3"/>
      <c r="VXP3"/>
      <c r="VXQ3"/>
      <c r="VXR3"/>
      <c r="VXS3"/>
      <c r="VXT3"/>
      <c r="VXU3"/>
      <c r="VXV3"/>
      <c r="VXW3"/>
      <c r="VXX3"/>
      <c r="VXY3"/>
      <c r="VXZ3"/>
      <c r="VYA3"/>
      <c r="VYB3"/>
      <c r="VYC3"/>
      <c r="VYD3"/>
      <c r="VYE3"/>
      <c r="VYF3"/>
      <c r="VYG3"/>
      <c r="VYH3"/>
      <c r="VYI3"/>
      <c r="VYJ3"/>
      <c r="VYK3"/>
      <c r="VYL3"/>
      <c r="VYM3"/>
      <c r="VYN3"/>
      <c r="VYO3"/>
      <c r="VYP3"/>
      <c r="VYQ3"/>
      <c r="VYR3"/>
      <c r="VYS3"/>
      <c r="VYT3"/>
      <c r="VYU3"/>
      <c r="VYV3"/>
      <c r="VYW3"/>
      <c r="VYX3"/>
      <c r="VYY3"/>
      <c r="VYZ3"/>
      <c r="VZA3"/>
      <c r="VZB3"/>
      <c r="VZC3"/>
      <c r="VZD3"/>
      <c r="VZE3"/>
      <c r="VZF3"/>
      <c r="VZG3"/>
      <c r="VZH3"/>
      <c r="VZI3"/>
      <c r="VZJ3"/>
      <c r="VZK3"/>
      <c r="VZL3"/>
      <c r="VZM3"/>
      <c r="VZN3"/>
      <c r="VZO3"/>
      <c r="VZP3"/>
      <c r="VZQ3"/>
      <c r="VZR3"/>
      <c r="VZS3"/>
      <c r="VZT3"/>
      <c r="VZU3"/>
      <c r="VZV3"/>
      <c r="VZW3"/>
      <c r="VZX3"/>
      <c r="VZY3"/>
      <c r="VZZ3"/>
      <c r="WAA3"/>
      <c r="WAB3"/>
      <c r="WAC3"/>
      <c r="WAD3"/>
      <c r="WAE3"/>
      <c r="WAF3"/>
      <c r="WAG3"/>
      <c r="WAH3"/>
      <c r="WAI3"/>
      <c r="WAJ3"/>
      <c r="WAK3"/>
      <c r="WAL3"/>
      <c r="WAM3"/>
      <c r="WAN3"/>
      <c r="WAO3"/>
      <c r="WAP3"/>
      <c r="WAQ3"/>
      <c r="WAR3"/>
      <c r="WAS3"/>
      <c r="WAT3"/>
      <c r="WAU3"/>
      <c r="WAV3"/>
      <c r="WAW3"/>
      <c r="WAX3"/>
      <c r="WAY3"/>
      <c r="WAZ3"/>
      <c r="WBA3"/>
      <c r="WBB3"/>
      <c r="WBC3"/>
      <c r="WBD3"/>
      <c r="WBE3"/>
      <c r="WBF3"/>
      <c r="WBG3"/>
      <c r="WBH3"/>
      <c r="WBI3"/>
      <c r="WBJ3"/>
      <c r="WBK3"/>
      <c r="WBL3"/>
      <c r="WBM3"/>
      <c r="WBN3"/>
      <c r="WBO3"/>
      <c r="WBP3"/>
      <c r="WBQ3"/>
      <c r="WBR3"/>
      <c r="WBS3"/>
      <c r="WBT3"/>
      <c r="WBU3"/>
      <c r="WBV3"/>
      <c r="WBW3"/>
      <c r="WBX3"/>
      <c r="WBY3"/>
      <c r="WBZ3"/>
      <c r="WCA3"/>
      <c r="WCB3"/>
      <c r="WCC3"/>
      <c r="WCD3"/>
      <c r="WCE3"/>
      <c r="WCF3"/>
      <c r="WCG3"/>
      <c r="WCH3"/>
      <c r="WCI3"/>
      <c r="WCJ3"/>
      <c r="WCK3"/>
      <c r="WCL3"/>
      <c r="WCM3"/>
      <c r="WCN3"/>
      <c r="WCO3"/>
      <c r="WCP3"/>
      <c r="WCQ3"/>
      <c r="WCR3"/>
      <c r="WCS3"/>
      <c r="WCT3"/>
      <c r="WCU3"/>
      <c r="WCV3"/>
      <c r="WCW3"/>
      <c r="WCX3"/>
      <c r="WCY3"/>
      <c r="WCZ3"/>
      <c r="WDA3"/>
      <c r="WDB3"/>
      <c r="WDC3"/>
      <c r="WDD3"/>
      <c r="WDE3"/>
      <c r="WDF3"/>
      <c r="WDG3"/>
      <c r="WDH3"/>
      <c r="WDI3"/>
      <c r="WDJ3"/>
      <c r="WDK3"/>
      <c r="WDL3"/>
      <c r="WDM3"/>
      <c r="WDN3"/>
      <c r="WDO3"/>
      <c r="WDP3"/>
      <c r="WDQ3"/>
      <c r="WDR3"/>
      <c r="WDS3"/>
      <c r="WDT3"/>
      <c r="WDU3"/>
      <c r="WDV3"/>
      <c r="WDW3"/>
      <c r="WDX3"/>
      <c r="WDY3"/>
      <c r="WDZ3"/>
      <c r="WEA3"/>
      <c r="WEB3"/>
      <c r="WEC3"/>
      <c r="WED3"/>
      <c r="WEE3"/>
      <c r="WEF3"/>
      <c r="WEG3"/>
      <c r="WEH3"/>
      <c r="WEI3"/>
      <c r="WEJ3"/>
      <c r="WEK3"/>
      <c r="WEL3"/>
      <c r="WEM3"/>
      <c r="WEN3"/>
      <c r="WEO3"/>
      <c r="WEP3"/>
      <c r="WEQ3"/>
      <c r="WER3"/>
      <c r="WES3"/>
      <c r="WET3"/>
      <c r="WEU3"/>
      <c r="WEV3"/>
      <c r="WEW3"/>
      <c r="WEX3"/>
      <c r="WEY3"/>
      <c r="WEZ3"/>
      <c r="WFA3"/>
      <c r="WFB3"/>
      <c r="WFC3"/>
      <c r="WFD3"/>
      <c r="WFE3"/>
      <c r="WFF3"/>
      <c r="WFG3"/>
      <c r="WFH3"/>
      <c r="WFI3"/>
      <c r="WFJ3"/>
      <c r="WFK3"/>
      <c r="WFL3"/>
      <c r="WFM3"/>
      <c r="WFN3"/>
      <c r="WFO3"/>
      <c r="WFP3"/>
      <c r="WFQ3"/>
      <c r="WFR3"/>
      <c r="WFS3"/>
      <c r="WFT3"/>
      <c r="WFU3"/>
      <c r="WFV3"/>
      <c r="WFW3"/>
      <c r="WFX3"/>
      <c r="WFY3"/>
      <c r="WFZ3"/>
      <c r="WGA3"/>
      <c r="WGB3"/>
      <c r="WGC3"/>
      <c r="WGD3"/>
      <c r="WGE3"/>
      <c r="WGF3"/>
      <c r="WGG3"/>
      <c r="WGH3"/>
      <c r="WGI3"/>
      <c r="WGJ3"/>
      <c r="WGK3"/>
      <c r="WGL3"/>
      <c r="WGM3"/>
      <c r="WGN3"/>
      <c r="WGO3"/>
      <c r="WGP3"/>
      <c r="WGQ3"/>
      <c r="WGR3"/>
      <c r="WGS3"/>
      <c r="WGT3"/>
      <c r="WGU3"/>
      <c r="WGV3"/>
      <c r="WGW3"/>
      <c r="WGX3"/>
      <c r="WGY3"/>
      <c r="WGZ3"/>
      <c r="WHA3"/>
      <c r="WHB3"/>
      <c r="WHC3"/>
      <c r="WHD3"/>
      <c r="WHE3"/>
      <c r="WHF3"/>
      <c r="WHG3"/>
      <c r="WHH3"/>
      <c r="WHI3"/>
      <c r="WHJ3"/>
      <c r="WHK3"/>
      <c r="WHL3"/>
      <c r="WHM3"/>
      <c r="WHN3"/>
      <c r="WHO3"/>
      <c r="WHP3"/>
      <c r="WHQ3"/>
      <c r="WHR3"/>
      <c r="WHS3"/>
      <c r="WHT3"/>
      <c r="WHU3"/>
      <c r="WHV3"/>
      <c r="WHW3"/>
      <c r="WHX3"/>
      <c r="WHY3"/>
      <c r="WHZ3"/>
      <c r="WIA3"/>
      <c r="WIB3"/>
      <c r="WIC3"/>
      <c r="WID3"/>
      <c r="WIE3"/>
      <c r="WIF3"/>
      <c r="WIG3"/>
      <c r="WIH3"/>
      <c r="WII3"/>
      <c r="WIJ3"/>
      <c r="WIK3"/>
      <c r="WIL3"/>
      <c r="WIM3"/>
      <c r="WIN3"/>
      <c r="WIO3"/>
      <c r="WIP3"/>
      <c r="WIQ3"/>
      <c r="WIR3"/>
      <c r="WIS3"/>
      <c r="WIT3"/>
      <c r="WIU3"/>
      <c r="WIV3"/>
      <c r="WIW3"/>
      <c r="WIX3"/>
      <c r="WIY3"/>
      <c r="WIZ3"/>
      <c r="WJA3"/>
      <c r="WJB3"/>
      <c r="WJC3"/>
      <c r="WJD3"/>
      <c r="WJE3"/>
      <c r="WJF3"/>
      <c r="WJG3"/>
      <c r="WJH3"/>
      <c r="WJI3"/>
      <c r="WJJ3"/>
      <c r="WJK3"/>
      <c r="WJL3"/>
      <c r="WJM3"/>
      <c r="WJN3"/>
      <c r="WJO3"/>
      <c r="WJP3"/>
      <c r="WJQ3"/>
      <c r="WJR3"/>
      <c r="WJS3"/>
      <c r="WJT3"/>
      <c r="WJU3"/>
      <c r="WJV3"/>
      <c r="WJW3"/>
      <c r="WJX3"/>
      <c r="WJY3"/>
      <c r="WJZ3"/>
      <c r="WKA3"/>
      <c r="WKB3"/>
      <c r="WKC3"/>
      <c r="WKD3"/>
      <c r="WKE3"/>
      <c r="WKF3"/>
      <c r="WKG3"/>
      <c r="WKH3"/>
      <c r="WKI3"/>
      <c r="WKJ3"/>
      <c r="WKK3"/>
      <c r="WKL3"/>
      <c r="WKM3"/>
      <c r="WKN3"/>
      <c r="WKO3"/>
      <c r="WKP3"/>
      <c r="WKQ3"/>
      <c r="WKR3"/>
      <c r="WKS3"/>
      <c r="WKT3"/>
      <c r="WKU3"/>
      <c r="WKV3"/>
      <c r="WKW3"/>
      <c r="WKX3"/>
      <c r="WKY3"/>
      <c r="WKZ3"/>
      <c r="WLA3"/>
      <c r="WLB3"/>
      <c r="WLC3"/>
      <c r="WLD3"/>
      <c r="WLE3"/>
      <c r="WLF3"/>
      <c r="WLG3"/>
      <c r="WLH3"/>
      <c r="WLI3"/>
      <c r="WLJ3"/>
      <c r="WLK3"/>
      <c r="WLL3"/>
      <c r="WLM3"/>
      <c r="WLN3"/>
      <c r="WLO3"/>
      <c r="WLP3"/>
      <c r="WLQ3"/>
      <c r="WLR3"/>
      <c r="WLS3"/>
      <c r="WLT3"/>
      <c r="WLU3"/>
      <c r="WLV3"/>
      <c r="WLW3"/>
      <c r="WLX3"/>
      <c r="WLY3"/>
      <c r="WLZ3"/>
      <c r="WMA3"/>
      <c r="WMB3"/>
      <c r="WMC3"/>
      <c r="WMD3"/>
      <c r="WME3"/>
      <c r="WMF3"/>
      <c r="WMG3"/>
      <c r="WMH3"/>
      <c r="WMI3"/>
      <c r="WMJ3"/>
      <c r="WMK3"/>
      <c r="WML3"/>
      <c r="WMM3"/>
      <c r="WMN3"/>
      <c r="WMO3"/>
      <c r="WMP3"/>
      <c r="WMQ3"/>
      <c r="WMR3"/>
      <c r="WMS3"/>
      <c r="WMT3"/>
      <c r="WMU3"/>
      <c r="WMV3"/>
      <c r="WMW3"/>
      <c r="WMX3"/>
      <c r="WMY3"/>
      <c r="WMZ3"/>
      <c r="WNA3"/>
      <c r="WNB3"/>
      <c r="WNC3"/>
      <c r="WND3"/>
      <c r="WNE3"/>
      <c r="WNF3"/>
      <c r="WNG3"/>
      <c r="WNH3"/>
      <c r="WNI3"/>
      <c r="WNJ3"/>
      <c r="WNK3"/>
      <c r="WNL3"/>
      <c r="WNM3"/>
      <c r="WNN3"/>
      <c r="WNO3"/>
      <c r="WNP3"/>
      <c r="WNQ3"/>
      <c r="WNR3"/>
      <c r="WNS3"/>
      <c r="WNT3"/>
      <c r="WNU3"/>
      <c r="WNV3"/>
      <c r="WNW3"/>
      <c r="WNX3"/>
      <c r="WNY3"/>
      <c r="WNZ3"/>
      <c r="WOA3"/>
      <c r="WOB3"/>
      <c r="WOC3"/>
      <c r="WOD3"/>
      <c r="WOE3"/>
      <c r="WOF3"/>
      <c r="WOG3"/>
      <c r="WOH3"/>
      <c r="WOI3"/>
      <c r="WOJ3"/>
      <c r="WOK3"/>
      <c r="WOL3"/>
      <c r="WOM3"/>
      <c r="WON3"/>
      <c r="WOO3"/>
      <c r="WOP3"/>
      <c r="WOQ3"/>
      <c r="WOR3"/>
      <c r="WOS3"/>
      <c r="WOT3"/>
      <c r="WOU3"/>
      <c r="WOV3"/>
      <c r="WOW3"/>
      <c r="WOX3"/>
      <c r="WOY3"/>
      <c r="WOZ3"/>
      <c r="WPA3"/>
      <c r="WPB3"/>
      <c r="WPC3"/>
      <c r="WPD3"/>
      <c r="WPE3"/>
      <c r="WPF3"/>
      <c r="WPG3"/>
      <c r="WPH3"/>
      <c r="WPI3"/>
      <c r="WPJ3"/>
      <c r="WPK3"/>
      <c r="WPL3"/>
      <c r="WPM3"/>
      <c r="WPN3"/>
      <c r="WPO3"/>
      <c r="WPP3"/>
      <c r="WPQ3"/>
      <c r="WPR3"/>
      <c r="WPS3"/>
      <c r="WPT3"/>
      <c r="WPU3"/>
      <c r="WPV3"/>
      <c r="WPW3"/>
      <c r="WPX3"/>
      <c r="WPY3"/>
      <c r="WPZ3"/>
      <c r="WQA3"/>
      <c r="WQB3"/>
      <c r="WQC3"/>
      <c r="WQD3"/>
      <c r="WQE3"/>
      <c r="WQF3"/>
      <c r="WQG3"/>
      <c r="WQH3"/>
      <c r="WQI3"/>
      <c r="WQJ3"/>
      <c r="WQK3"/>
      <c r="WQL3"/>
      <c r="WQM3"/>
      <c r="WQN3"/>
      <c r="WQO3"/>
      <c r="WQP3"/>
      <c r="WQQ3"/>
      <c r="WQR3"/>
      <c r="WQS3"/>
      <c r="WQT3"/>
      <c r="WQU3"/>
      <c r="WQV3"/>
      <c r="WQW3"/>
      <c r="WQX3"/>
      <c r="WQY3"/>
      <c r="WQZ3"/>
      <c r="WRA3"/>
      <c r="WRB3"/>
      <c r="WRC3"/>
      <c r="WRD3"/>
      <c r="WRE3"/>
      <c r="WRF3"/>
      <c r="WRG3"/>
      <c r="WRH3"/>
      <c r="WRI3"/>
      <c r="WRJ3"/>
      <c r="WRK3"/>
      <c r="WRL3"/>
      <c r="WRM3"/>
      <c r="WRN3"/>
      <c r="WRO3"/>
      <c r="WRP3"/>
      <c r="WRQ3"/>
      <c r="WRR3"/>
      <c r="WRS3"/>
      <c r="WRT3"/>
      <c r="WRU3"/>
      <c r="WRV3"/>
      <c r="WRW3"/>
      <c r="WRX3"/>
      <c r="WRY3"/>
      <c r="WRZ3"/>
      <c r="WSA3"/>
      <c r="WSB3"/>
      <c r="WSC3"/>
      <c r="WSD3"/>
      <c r="WSE3"/>
      <c r="WSF3"/>
      <c r="WSG3"/>
      <c r="WSH3"/>
      <c r="WSI3"/>
      <c r="WSJ3"/>
      <c r="WSK3"/>
      <c r="WSL3"/>
      <c r="WSM3"/>
      <c r="WSN3"/>
      <c r="WSO3"/>
      <c r="WSP3"/>
      <c r="WSQ3"/>
      <c r="WSR3"/>
      <c r="WSS3"/>
      <c r="WST3"/>
      <c r="WSU3"/>
      <c r="WSV3"/>
      <c r="WSW3"/>
      <c r="WSX3"/>
      <c r="WSY3"/>
      <c r="WSZ3"/>
      <c r="WTA3"/>
      <c r="WTB3"/>
      <c r="WTC3"/>
      <c r="WTD3"/>
      <c r="WTE3"/>
      <c r="WTF3"/>
      <c r="WTG3"/>
      <c r="WTH3"/>
      <c r="WTI3"/>
      <c r="WTJ3"/>
      <c r="WTK3"/>
      <c r="WTL3"/>
      <c r="WTM3"/>
      <c r="WTN3"/>
      <c r="WTO3"/>
      <c r="WTP3"/>
      <c r="WTQ3"/>
      <c r="WTR3"/>
      <c r="WTS3"/>
      <c r="WTT3"/>
      <c r="WTU3"/>
      <c r="WTV3"/>
      <c r="WTW3"/>
      <c r="WTX3"/>
      <c r="WTY3"/>
      <c r="WTZ3"/>
      <c r="WUA3"/>
      <c r="WUB3"/>
      <c r="WUC3"/>
      <c r="WUD3"/>
      <c r="WUE3"/>
      <c r="WUF3"/>
      <c r="WUG3"/>
      <c r="WUH3"/>
      <c r="WUI3"/>
      <c r="WUJ3"/>
      <c r="WUK3"/>
      <c r="WUL3"/>
      <c r="WUM3"/>
      <c r="WUN3"/>
      <c r="WUO3"/>
      <c r="WUP3"/>
      <c r="WUQ3"/>
      <c r="WUR3"/>
      <c r="WUS3"/>
      <c r="WUT3"/>
      <c r="WUU3"/>
      <c r="WUV3"/>
      <c r="WUW3"/>
      <c r="WUX3"/>
      <c r="WUY3"/>
      <c r="WUZ3"/>
      <c r="WVA3"/>
      <c r="WVB3"/>
      <c r="WVC3"/>
      <c r="WVD3"/>
      <c r="WVE3"/>
      <c r="WVF3"/>
      <c r="WVG3"/>
      <c r="WVH3"/>
      <c r="WVI3"/>
      <c r="WVJ3"/>
      <c r="WVK3"/>
      <c r="WVL3"/>
      <c r="WVM3"/>
      <c r="WVN3"/>
      <c r="WVO3"/>
      <c r="WVP3"/>
      <c r="WVQ3"/>
      <c r="WVR3"/>
      <c r="WVS3"/>
      <c r="WVT3"/>
      <c r="WVU3"/>
      <c r="WVV3"/>
      <c r="WVW3"/>
      <c r="WVX3"/>
      <c r="WVY3"/>
      <c r="WVZ3"/>
      <c r="WWA3"/>
      <c r="WWB3"/>
      <c r="WWC3"/>
      <c r="WWD3"/>
      <c r="WWE3"/>
      <c r="WWF3"/>
      <c r="WWG3"/>
      <c r="WWH3"/>
      <c r="WWI3"/>
      <c r="WWJ3"/>
      <c r="WWK3"/>
      <c r="WWL3"/>
      <c r="WWM3"/>
      <c r="WWN3"/>
      <c r="WWO3"/>
      <c r="WWP3"/>
      <c r="WWQ3"/>
      <c r="WWR3"/>
      <c r="WWS3"/>
      <c r="WWT3"/>
      <c r="WWU3"/>
      <c r="WWV3"/>
      <c r="WWW3"/>
      <c r="WWX3"/>
      <c r="WWY3"/>
      <c r="WWZ3"/>
      <c r="WXA3"/>
      <c r="WXB3"/>
      <c r="WXC3"/>
      <c r="WXD3"/>
      <c r="WXE3"/>
      <c r="WXF3"/>
      <c r="WXG3"/>
      <c r="WXH3"/>
      <c r="WXI3"/>
      <c r="WXJ3"/>
      <c r="WXK3"/>
      <c r="WXL3"/>
      <c r="WXM3"/>
      <c r="WXN3"/>
      <c r="WXO3"/>
      <c r="WXP3"/>
      <c r="WXQ3"/>
      <c r="WXR3"/>
      <c r="WXS3"/>
      <c r="WXT3"/>
      <c r="WXU3"/>
      <c r="WXV3"/>
      <c r="WXW3"/>
      <c r="WXX3"/>
      <c r="WXY3"/>
      <c r="WXZ3"/>
      <c r="WYA3"/>
      <c r="WYB3"/>
      <c r="WYC3"/>
      <c r="WYD3"/>
      <c r="WYE3"/>
      <c r="WYF3"/>
      <c r="WYG3"/>
      <c r="WYH3"/>
      <c r="WYI3"/>
      <c r="WYJ3"/>
      <c r="WYK3"/>
      <c r="WYL3"/>
      <c r="WYM3"/>
      <c r="WYN3"/>
      <c r="WYO3"/>
      <c r="WYP3"/>
      <c r="WYQ3"/>
      <c r="WYR3"/>
      <c r="WYS3"/>
      <c r="WYT3"/>
      <c r="WYU3"/>
      <c r="WYV3"/>
      <c r="WYW3"/>
      <c r="WYX3"/>
      <c r="WYY3"/>
      <c r="WYZ3"/>
      <c r="WZA3"/>
      <c r="WZB3"/>
      <c r="WZC3"/>
      <c r="WZD3"/>
      <c r="WZE3"/>
      <c r="WZF3"/>
      <c r="WZG3"/>
      <c r="WZH3"/>
      <c r="WZI3"/>
      <c r="WZJ3"/>
      <c r="WZK3"/>
      <c r="WZL3"/>
      <c r="WZM3"/>
      <c r="WZN3"/>
      <c r="WZO3"/>
      <c r="WZP3"/>
      <c r="WZQ3"/>
      <c r="WZR3"/>
      <c r="WZS3"/>
      <c r="WZT3"/>
      <c r="WZU3"/>
      <c r="WZV3"/>
      <c r="WZW3"/>
      <c r="WZX3"/>
      <c r="WZY3"/>
      <c r="WZZ3"/>
      <c r="XAA3"/>
      <c r="XAB3"/>
      <c r="XAC3"/>
      <c r="XAD3"/>
      <c r="XAE3"/>
      <c r="XAF3"/>
      <c r="XAG3"/>
      <c r="XAH3"/>
      <c r="XAI3"/>
      <c r="XAJ3"/>
      <c r="XAK3"/>
      <c r="XAL3"/>
      <c r="XAM3"/>
      <c r="XAN3"/>
      <c r="XAO3"/>
      <c r="XAP3"/>
      <c r="XAQ3"/>
      <c r="XAR3"/>
      <c r="XAS3"/>
      <c r="XAT3"/>
      <c r="XAU3"/>
      <c r="XAV3"/>
      <c r="XAW3"/>
      <c r="XAX3"/>
      <c r="XAY3"/>
      <c r="XAZ3"/>
      <c r="XBA3"/>
      <c r="XBB3"/>
      <c r="XBC3"/>
      <c r="XBD3"/>
      <c r="XBE3"/>
      <c r="XBF3"/>
      <c r="XBG3"/>
      <c r="XBH3"/>
      <c r="XBI3"/>
      <c r="XBJ3"/>
      <c r="XBK3"/>
      <c r="XBL3"/>
      <c r="XBM3"/>
      <c r="XBN3"/>
      <c r="XBO3"/>
      <c r="XBP3"/>
      <c r="XBQ3"/>
      <c r="XBR3"/>
      <c r="XBS3"/>
      <c r="XBT3"/>
      <c r="XBU3"/>
      <c r="XBV3"/>
      <c r="XBW3"/>
      <c r="XBX3"/>
      <c r="XBY3"/>
      <c r="XBZ3"/>
      <c r="XCA3"/>
      <c r="XCB3"/>
      <c r="XCC3"/>
      <c r="XCD3"/>
      <c r="XCE3"/>
      <c r="XCF3"/>
      <c r="XCG3"/>
      <c r="XCH3"/>
      <c r="XCI3"/>
      <c r="XCJ3"/>
      <c r="XCK3"/>
      <c r="XCL3"/>
      <c r="XCM3"/>
      <c r="XCN3"/>
      <c r="XCO3"/>
      <c r="XCP3"/>
      <c r="XCQ3"/>
      <c r="XCR3"/>
      <c r="XCS3"/>
      <c r="XCT3"/>
      <c r="XCU3"/>
      <c r="XCV3"/>
      <c r="XCW3"/>
      <c r="XCX3"/>
      <c r="XCY3"/>
      <c r="XCZ3"/>
      <c r="XDA3"/>
      <c r="XDB3"/>
      <c r="XDC3"/>
      <c r="XDD3"/>
      <c r="XDE3"/>
      <c r="XDF3"/>
      <c r="XDG3"/>
      <c r="XDH3"/>
      <c r="XDI3"/>
      <c r="XDJ3"/>
      <c r="XDK3"/>
      <c r="XDL3"/>
      <c r="XDM3"/>
      <c r="XDN3"/>
      <c r="XDO3"/>
      <c r="XDP3"/>
      <c r="XDQ3"/>
      <c r="XDR3"/>
      <c r="XDS3"/>
      <c r="XDT3"/>
      <c r="XDU3"/>
      <c r="XDV3"/>
      <c r="XDW3"/>
      <c r="XDX3"/>
      <c r="XDY3"/>
      <c r="XDZ3"/>
      <c r="XEA3"/>
      <c r="XEB3"/>
      <c r="XEC3"/>
      <c r="XED3"/>
      <c r="XEE3"/>
      <c r="XEF3"/>
      <c r="XEG3"/>
      <c r="XEH3"/>
      <c r="XEI3"/>
      <c r="XEJ3"/>
      <c r="XEK3"/>
      <c r="XEL3"/>
      <c r="XEM3"/>
      <c r="XEN3"/>
      <c r="XEO3"/>
      <c r="XEP3"/>
      <c r="XEQ3"/>
      <c r="XER3"/>
      <c r="XES3"/>
      <c r="XET3"/>
      <c r="XEU3"/>
      <c r="XEV3"/>
      <c r="XEW3"/>
      <c r="XEX3"/>
      <c r="XEY3"/>
      <c r="XEZ3"/>
      <c r="XFA3"/>
      <c r="XFB3"/>
      <c r="XFC3"/>
      <c r="XFD3"/>
    </row>
    <row r="5" spans="1:16384" s="787" customFormat="1">
      <c r="A5" s="866"/>
      <c r="B5" s="887" t="s">
        <v>174</v>
      </c>
      <c r="C5" s="888" t="s">
        <v>370</v>
      </c>
      <c r="D5" s="889" t="s">
        <v>830</v>
      </c>
      <c r="E5" s="889" t="s">
        <v>714</v>
      </c>
      <c r="F5" s="889" t="s">
        <v>831</v>
      </c>
      <c r="G5" s="889" t="s">
        <v>716</v>
      </c>
      <c r="H5" s="889" t="s">
        <v>717</v>
      </c>
      <c r="I5" s="889" t="s">
        <v>737</v>
      </c>
      <c r="J5" s="889" t="s">
        <v>738</v>
      </c>
      <c r="K5" s="889" t="s">
        <v>739</v>
      </c>
      <c r="L5" s="889" t="s">
        <v>740</v>
      </c>
      <c r="M5" s="889" t="s">
        <v>809</v>
      </c>
      <c r="N5" s="889" t="s">
        <v>810</v>
      </c>
      <c r="O5" s="889" t="s">
        <v>832</v>
      </c>
      <c r="P5" s="889" t="s">
        <v>833</v>
      </c>
      <c r="Q5" s="888" t="s">
        <v>834</v>
      </c>
      <c r="R5" s="866" t="s">
        <v>835</v>
      </c>
    </row>
    <row r="6" spans="1:16384" s="795" customFormat="1" ht="33.75" customHeight="1">
      <c r="A6" s="890" t="s">
        <v>43</v>
      </c>
      <c r="B6" s="890" t="s">
        <v>936</v>
      </c>
      <c r="C6" s="891" t="s">
        <v>937</v>
      </c>
      <c r="D6" s="891" t="s">
        <v>938</v>
      </c>
      <c r="E6" s="890" t="s">
        <v>939</v>
      </c>
      <c r="F6" s="892" t="s">
        <v>840</v>
      </c>
      <c r="G6" s="893" t="s">
        <v>841</v>
      </c>
      <c r="H6" s="893" t="s">
        <v>842</v>
      </c>
      <c r="I6" s="893" t="s">
        <v>843</v>
      </c>
      <c r="J6" s="893" t="s">
        <v>844</v>
      </c>
      <c r="K6" s="893" t="s">
        <v>845</v>
      </c>
      <c r="L6" s="893" t="s">
        <v>846</v>
      </c>
      <c r="M6" s="893" t="s">
        <v>847</v>
      </c>
      <c r="N6" s="893" t="s">
        <v>848</v>
      </c>
      <c r="O6" s="893" t="s">
        <v>849</v>
      </c>
      <c r="P6" s="893" t="s">
        <v>850</v>
      </c>
      <c r="Q6" s="893" t="s">
        <v>851</v>
      </c>
      <c r="R6" s="893" t="s">
        <v>840</v>
      </c>
    </row>
    <row r="7" spans="1:16384" s="795" customFormat="1">
      <c r="A7" s="890"/>
      <c r="B7" s="890"/>
      <c r="C7" s="894"/>
      <c r="D7" s="894"/>
      <c r="E7" s="890"/>
      <c r="F7" s="895">
        <v>2019</v>
      </c>
      <c r="G7" s="895">
        <v>2020</v>
      </c>
      <c r="H7" s="895">
        <v>2020</v>
      </c>
      <c r="I7" s="895">
        <v>2020</v>
      </c>
      <c r="J7" s="895">
        <v>2020</v>
      </c>
      <c r="K7" s="895">
        <v>2020</v>
      </c>
      <c r="L7" s="895">
        <v>2020</v>
      </c>
      <c r="M7" s="895">
        <v>2020</v>
      </c>
      <c r="N7" s="895">
        <v>2020</v>
      </c>
      <c r="O7" s="895">
        <v>2020</v>
      </c>
      <c r="P7" s="895">
        <v>2020</v>
      </c>
      <c r="Q7" s="895">
        <v>2020</v>
      </c>
      <c r="R7" s="895">
        <v>2020</v>
      </c>
    </row>
    <row r="8" spans="1:16384" ht="28.7" customHeight="1">
      <c r="A8" s="826" t="s">
        <v>257</v>
      </c>
      <c r="B8" s="896"/>
      <c r="C8" s="897"/>
      <c r="D8" s="844"/>
      <c r="E8" s="846">
        <f t="shared" ref="E8:E17" si="0">IFERROR(SUM(F8:R8)/13,0)</f>
        <v>0</v>
      </c>
      <c r="F8" s="844"/>
      <c r="G8" s="844"/>
      <c r="H8" s="844"/>
      <c r="I8" s="844"/>
      <c r="J8" s="844"/>
      <c r="K8" s="844"/>
      <c r="L8" s="844"/>
      <c r="M8" s="844"/>
      <c r="N8" s="844"/>
      <c r="O8" s="844"/>
      <c r="P8" s="844"/>
      <c r="Q8" s="844"/>
      <c r="R8" s="844"/>
    </row>
    <row r="9" spans="1:16384" ht="28.7" customHeight="1">
      <c r="A9" s="826" t="s">
        <v>857</v>
      </c>
      <c r="B9" s="898"/>
      <c r="C9" s="852"/>
      <c r="D9" s="852"/>
      <c r="E9" s="853">
        <f t="shared" si="0"/>
        <v>0</v>
      </c>
      <c r="F9" s="852"/>
      <c r="G9" s="852"/>
      <c r="H9" s="852"/>
      <c r="I9" s="852"/>
      <c r="J9" s="852"/>
      <c r="K9" s="852"/>
      <c r="L9" s="852"/>
      <c r="M9" s="852"/>
      <c r="N9" s="852"/>
      <c r="O9" s="852"/>
      <c r="P9" s="852"/>
      <c r="Q9" s="852"/>
      <c r="R9" s="852"/>
    </row>
    <row r="10" spans="1:16384" ht="28.7" customHeight="1">
      <c r="A10" s="826" t="s">
        <v>858</v>
      </c>
      <c r="B10" s="898"/>
      <c r="C10" s="852"/>
      <c r="D10" s="852"/>
      <c r="E10" s="853">
        <f t="shared" si="0"/>
        <v>0</v>
      </c>
      <c r="F10" s="852"/>
      <c r="G10" s="852"/>
      <c r="H10" s="852"/>
      <c r="I10" s="852"/>
      <c r="J10" s="852"/>
      <c r="K10" s="852"/>
      <c r="L10" s="852"/>
      <c r="M10" s="852"/>
      <c r="N10" s="852"/>
      <c r="O10" s="852"/>
      <c r="P10" s="852"/>
      <c r="Q10" s="852"/>
      <c r="R10" s="852"/>
    </row>
    <row r="11" spans="1:16384" ht="28.7" customHeight="1">
      <c r="A11" s="826" t="s">
        <v>259</v>
      </c>
      <c r="B11" s="898"/>
      <c r="C11" s="852"/>
      <c r="D11" s="852"/>
      <c r="E11" s="853">
        <f t="shared" si="0"/>
        <v>0</v>
      </c>
      <c r="F11" s="852"/>
      <c r="G11" s="852"/>
      <c r="H11" s="852"/>
      <c r="I11" s="852"/>
      <c r="J11" s="852"/>
      <c r="K11" s="852"/>
      <c r="L11" s="852"/>
      <c r="M11" s="852"/>
      <c r="N11" s="852"/>
      <c r="O11" s="852"/>
      <c r="P11" s="852"/>
      <c r="Q11" s="852"/>
      <c r="R11" s="852"/>
    </row>
    <row r="12" spans="1:16384" ht="28.7" customHeight="1">
      <c r="A12" s="826" t="s">
        <v>259</v>
      </c>
      <c r="B12" s="898"/>
      <c r="C12" s="852"/>
      <c r="D12" s="852"/>
      <c r="E12" s="853">
        <f t="shared" si="0"/>
        <v>0</v>
      </c>
      <c r="F12" s="852"/>
      <c r="G12" s="852"/>
      <c r="H12" s="852"/>
      <c r="I12" s="852"/>
      <c r="J12" s="852"/>
      <c r="K12" s="852"/>
      <c r="L12" s="852"/>
      <c r="M12" s="852"/>
      <c r="N12" s="852"/>
      <c r="O12" s="852"/>
      <c r="P12" s="852"/>
      <c r="Q12" s="852"/>
      <c r="R12" s="852"/>
    </row>
    <row r="13" spans="1:16384" ht="28.7" customHeight="1">
      <c r="A13" s="826" t="s">
        <v>259</v>
      </c>
      <c r="B13" s="898"/>
      <c r="C13" s="852"/>
      <c r="D13" s="852"/>
      <c r="E13" s="853">
        <f t="shared" si="0"/>
        <v>0</v>
      </c>
      <c r="F13" s="852"/>
      <c r="G13" s="852"/>
      <c r="H13" s="852"/>
      <c r="I13" s="852"/>
      <c r="J13" s="852"/>
      <c r="K13" s="852"/>
      <c r="L13" s="852"/>
      <c r="M13" s="852"/>
      <c r="N13" s="852"/>
      <c r="O13" s="852"/>
      <c r="P13" s="852"/>
      <c r="Q13" s="852"/>
      <c r="R13" s="852"/>
    </row>
    <row r="14" spans="1:16384" ht="28.7" customHeight="1">
      <c r="A14" s="826" t="s">
        <v>259</v>
      </c>
      <c r="B14" s="898"/>
      <c r="C14" s="852"/>
      <c r="D14" s="852"/>
      <c r="E14" s="853">
        <f t="shared" si="0"/>
        <v>0</v>
      </c>
      <c r="F14" s="852"/>
      <c r="G14" s="852"/>
      <c r="H14" s="852"/>
      <c r="I14" s="852"/>
      <c r="J14" s="852"/>
      <c r="K14" s="852"/>
      <c r="L14" s="852"/>
      <c r="M14" s="852"/>
      <c r="N14" s="852"/>
      <c r="O14" s="852"/>
      <c r="P14" s="852"/>
      <c r="Q14" s="852"/>
      <c r="R14" s="852"/>
    </row>
    <row r="15" spans="1:16384" ht="28.7" customHeight="1">
      <c r="A15" s="826" t="s">
        <v>259</v>
      </c>
      <c r="B15" s="898"/>
      <c r="C15" s="852"/>
      <c r="D15" s="852"/>
      <c r="E15" s="853">
        <f t="shared" si="0"/>
        <v>0</v>
      </c>
      <c r="F15" s="852"/>
      <c r="G15" s="852"/>
      <c r="H15" s="852"/>
      <c r="I15" s="852"/>
      <c r="J15" s="852"/>
      <c r="K15" s="852"/>
      <c r="L15" s="852"/>
      <c r="M15" s="852"/>
      <c r="N15" s="852"/>
      <c r="O15" s="852"/>
      <c r="P15" s="852"/>
      <c r="Q15" s="852"/>
      <c r="R15" s="852"/>
    </row>
    <row r="16" spans="1:16384" ht="28.7" customHeight="1">
      <c r="A16" s="826" t="s">
        <v>259</v>
      </c>
      <c r="B16" s="898"/>
      <c r="C16" s="852"/>
      <c r="D16" s="852"/>
      <c r="E16" s="853">
        <f t="shared" si="0"/>
        <v>0</v>
      </c>
      <c r="F16" s="852"/>
      <c r="G16" s="852"/>
      <c r="H16" s="852"/>
      <c r="I16" s="852"/>
      <c r="J16" s="852"/>
      <c r="K16" s="852"/>
      <c r="L16" s="852"/>
      <c r="M16" s="852"/>
      <c r="N16" s="852"/>
      <c r="O16" s="852"/>
      <c r="P16" s="852"/>
      <c r="Q16" s="852"/>
      <c r="R16" s="852"/>
    </row>
    <row r="17" spans="1:18" ht="28.7" customHeight="1">
      <c r="A17" s="826" t="s">
        <v>261</v>
      </c>
      <c r="B17" s="898"/>
      <c r="C17" s="852"/>
      <c r="D17" s="852"/>
      <c r="E17" s="899">
        <f t="shared" si="0"/>
        <v>0</v>
      </c>
      <c r="F17" s="852"/>
      <c r="G17" s="852"/>
      <c r="H17" s="852"/>
      <c r="I17" s="852"/>
      <c r="J17" s="852"/>
      <c r="K17" s="852"/>
      <c r="L17" s="852"/>
      <c r="M17" s="852"/>
      <c r="N17" s="852"/>
      <c r="O17" s="900"/>
      <c r="P17" s="900"/>
      <c r="Q17" s="900"/>
      <c r="R17" s="900"/>
    </row>
    <row r="18" spans="1:18">
      <c r="A18" s="826">
        <v>2</v>
      </c>
      <c r="C18" s="901"/>
      <c r="D18" s="901" t="s">
        <v>940</v>
      </c>
      <c r="E18" s="902">
        <f>SUM(E8:E17)</f>
        <v>0</v>
      </c>
      <c r="F18" s="903"/>
      <c r="G18" s="903"/>
      <c r="H18" s="903"/>
      <c r="I18" s="903"/>
      <c r="J18" s="903"/>
      <c r="K18" s="903"/>
      <c r="L18" s="903"/>
      <c r="M18" s="903"/>
      <c r="N18" s="826"/>
      <c r="O18" s="826"/>
      <c r="P18" s="826"/>
      <c r="Q18" s="826"/>
      <c r="R18" s="826"/>
    </row>
    <row r="19" spans="1:18">
      <c r="E19" s="903"/>
      <c r="F19" s="860" t="s">
        <v>941</v>
      </c>
      <c r="G19" s="860"/>
      <c r="H19" s="860"/>
      <c r="I19" s="860"/>
      <c r="J19" s="860"/>
      <c r="K19" s="860"/>
      <c r="L19" s="903"/>
      <c r="M19" s="903"/>
      <c r="N19" s="903"/>
      <c r="O19" s="903"/>
      <c r="P19" s="903"/>
      <c r="Q19" s="903"/>
      <c r="R19" s="903"/>
    </row>
    <row r="20" spans="1:18">
      <c r="B20" s="871"/>
      <c r="C20" s="904"/>
      <c r="D20" s="904"/>
      <c r="F20" s="904"/>
      <c r="G20" s="905" t="s">
        <v>942</v>
      </c>
    </row>
    <row r="21" spans="1:18">
      <c r="C21" s="904"/>
      <c r="D21" s="904"/>
      <c r="E21" s="826"/>
      <c r="F21" s="904"/>
      <c r="G21" s="904"/>
      <c r="R21" s="826"/>
    </row>
    <row r="22" spans="1:18" ht="12" customHeight="1">
      <c r="C22" s="904"/>
      <c r="D22" s="904"/>
      <c r="E22" s="826"/>
      <c r="F22" s="904"/>
      <c r="M22" s="906"/>
      <c r="R22" s="826"/>
    </row>
    <row r="23" spans="1:18" ht="12" customHeight="1">
      <c r="C23" s="904"/>
      <c r="D23" s="904"/>
      <c r="E23" s="826"/>
      <c r="F23" s="904"/>
      <c r="R23" s="826"/>
    </row>
    <row r="24" spans="1:18" ht="11.25" customHeight="1">
      <c r="A24" s="871"/>
      <c r="C24" s="904"/>
      <c r="D24" s="904"/>
      <c r="E24" s="826"/>
      <c r="F24" s="904"/>
      <c r="M24" s="907"/>
      <c r="R24" s="826"/>
    </row>
    <row r="25" spans="1:18" ht="11.25" customHeight="1">
      <c r="A25" s="871"/>
      <c r="B25" s="871"/>
      <c r="C25" s="908"/>
      <c r="D25" s="908"/>
      <c r="E25" s="826"/>
      <c r="M25" s="909"/>
      <c r="R25" s="826"/>
    </row>
    <row r="26" spans="1:18" ht="11.25" customHeight="1">
      <c r="A26" s="870"/>
      <c r="B26" s="871"/>
      <c r="E26" s="826"/>
      <c r="M26" s="909"/>
      <c r="R26" s="826"/>
    </row>
    <row r="27" spans="1:18">
      <c r="A27" s="870"/>
      <c r="E27" s="826"/>
      <c r="R27" s="826"/>
    </row>
    <row r="28" spans="1:18">
      <c r="A28" s="870"/>
      <c r="E28" s="826"/>
      <c r="R28" s="826"/>
    </row>
    <row r="29" spans="1:18">
      <c r="A29" s="870"/>
      <c r="E29" s="826"/>
      <c r="R29" s="826"/>
    </row>
    <row r="30" spans="1:18">
      <c r="A30" s="870"/>
    </row>
  </sheetData>
  <mergeCells count="12">
    <mergeCell ref="A6:A7"/>
    <mergeCell ref="B6:B7"/>
    <mergeCell ref="C6:C7"/>
    <mergeCell ref="D6:D7"/>
    <mergeCell ref="E6:E7"/>
    <mergeCell ref="C25:D25"/>
    <mergeCell ref="A1:E1"/>
    <mergeCell ref="F1:R1"/>
    <mergeCell ref="A2:E2"/>
    <mergeCell ref="F2:R2"/>
    <mergeCell ref="A3:E3"/>
    <mergeCell ref="F3:R3"/>
  </mergeCells>
  <pageMargins left="0.7" right="0.7" top="0.75" bottom="0.75" header="0.3" footer="0.3"/>
  <pageSetup scale="57" orientation="landscape" r:id="rId1"/>
  <headerFooter>
    <oddFooter>&amp;RPage &amp;P of &amp;N</oddFooter>
  </headerFooter>
  <colBreaks count="1" manualBreakCount="1">
    <brk id="5"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299D8-E383-4B32-86EE-BA07E7776302}">
  <sheetPr>
    <pageSetUpPr fitToPage="1"/>
  </sheetPr>
  <dimension ref="A1:AP32"/>
  <sheetViews>
    <sheetView view="pageBreakPreview" zoomScale="80" zoomScaleNormal="100" zoomScaleSheetLayoutView="80" workbookViewId="0">
      <selection activeCell="G16" sqref="G16"/>
    </sheetView>
  </sheetViews>
  <sheetFormatPr defaultColWidth="7.109375" defaultRowHeight="11.25"/>
  <cols>
    <col min="1" max="2" width="2.5546875" style="783" customWidth="1"/>
    <col min="3" max="3" width="24" style="783" customWidth="1"/>
    <col min="4" max="4" width="9.44140625" style="816" customWidth="1"/>
    <col min="5" max="5" width="1.33203125" style="950" customWidth="1"/>
    <col min="6" max="6" width="8.33203125" style="817" customWidth="1"/>
    <col min="7" max="7" width="1.33203125" style="951" customWidth="1"/>
    <col min="8" max="8" width="8.21875" style="816" customWidth="1"/>
    <col min="9" max="9" width="1.33203125" style="951" customWidth="1"/>
    <col min="10" max="10" width="7" style="783" customWidth="1"/>
    <col min="11" max="11" width="1.33203125" style="783" customWidth="1"/>
    <col min="12" max="12" width="8.77734375" style="816" customWidth="1"/>
    <col min="13" max="13" width="1.33203125" style="783" customWidth="1"/>
    <col min="14" max="14" width="12.44140625" style="783" customWidth="1"/>
    <col min="15" max="15" width="1.88671875" style="783" bestFit="1" customWidth="1"/>
    <col min="16" max="16" width="9.33203125" style="783" customWidth="1"/>
    <col min="17" max="29" width="9.77734375" style="783" customWidth="1"/>
    <col min="30" max="30" width="15.88671875" style="783" customWidth="1"/>
    <col min="31" max="31" width="1.44140625" style="783" customWidth="1"/>
    <col min="32" max="32" width="9.33203125" style="817" customWidth="1"/>
    <col min="33" max="33" width="2.21875" style="783" customWidth="1"/>
    <col min="34" max="34" width="11.21875" style="783" customWidth="1"/>
    <col min="35" max="35" width="1.33203125" style="783" customWidth="1"/>
    <col min="36" max="36" width="13.5546875" style="783" bestFit="1" customWidth="1"/>
    <col min="37" max="37" width="1.33203125" style="783" customWidth="1"/>
    <col min="38" max="38" width="10.5546875" style="783" bestFit="1" customWidth="1"/>
    <col min="39" max="39" width="1.33203125" style="783" customWidth="1"/>
    <col min="40" max="40" width="14.5546875" style="910" customWidth="1"/>
    <col min="41" max="41" width="1.33203125" style="783" customWidth="1"/>
    <col min="42" max="42" width="10.6640625" style="910" bestFit="1" customWidth="1"/>
    <col min="43" max="16384" width="7.109375" style="783"/>
  </cols>
  <sheetData>
    <row r="1" spans="1:42" ht="15.75">
      <c r="A1" s="140" t="s">
        <v>943</v>
      </c>
      <c r="B1" s="140"/>
      <c r="C1" s="140"/>
      <c r="D1" s="140"/>
      <c r="E1" s="140"/>
      <c r="F1" s="140"/>
      <c r="G1" s="140"/>
      <c r="H1" s="140"/>
      <c r="I1" s="140"/>
      <c r="J1" s="140"/>
      <c r="K1" s="140"/>
      <c r="L1" s="140"/>
      <c r="M1" s="140"/>
      <c r="N1" s="140"/>
      <c r="O1" s="140"/>
      <c r="P1" s="140"/>
      <c r="Q1" s="140" t="s">
        <v>943</v>
      </c>
      <c r="R1" s="140"/>
      <c r="S1" s="140"/>
      <c r="T1" s="140"/>
      <c r="U1" s="140"/>
      <c r="V1" s="140"/>
      <c r="W1" s="140"/>
      <c r="X1" s="140"/>
      <c r="Y1" s="140"/>
      <c r="Z1" s="140"/>
      <c r="AA1" s="140"/>
      <c r="AB1" s="140"/>
      <c r="AC1" s="140"/>
      <c r="AD1" s="140" t="s">
        <v>943</v>
      </c>
      <c r="AE1" s="140"/>
      <c r="AF1" s="140"/>
      <c r="AG1" s="140"/>
      <c r="AH1" s="140"/>
      <c r="AI1" s="140"/>
      <c r="AJ1" s="140"/>
      <c r="AK1" s="140"/>
      <c r="AL1" s="140"/>
      <c r="AM1" s="140"/>
      <c r="AN1" s="140"/>
    </row>
    <row r="2" spans="1:42" ht="15.75">
      <c r="A2" s="827"/>
      <c r="B2" s="827"/>
      <c r="C2" s="827"/>
      <c r="D2" s="827"/>
      <c r="E2" s="827"/>
      <c r="F2" s="827"/>
      <c r="G2" s="827"/>
      <c r="H2" s="827"/>
      <c r="I2" s="827"/>
      <c r="J2" s="827"/>
      <c r="K2" s="827"/>
      <c r="L2" s="827"/>
      <c r="M2" s="827"/>
      <c r="N2" s="827"/>
      <c r="O2" s="827"/>
      <c r="P2" s="827"/>
      <c r="Q2" s="827"/>
      <c r="R2" s="827"/>
      <c r="S2" s="827"/>
      <c r="T2" s="827"/>
      <c r="U2" s="827"/>
      <c r="V2" s="827"/>
      <c r="W2" s="827"/>
      <c r="X2" s="827"/>
      <c r="Y2" s="827"/>
      <c r="Z2" s="827"/>
      <c r="AA2" s="827"/>
      <c r="AB2" s="827"/>
      <c r="AC2" s="827"/>
      <c r="AD2" s="827"/>
      <c r="AE2" s="827"/>
      <c r="AF2" s="827"/>
      <c r="AG2" s="827"/>
      <c r="AH2" s="827"/>
      <c r="AI2" s="827"/>
      <c r="AJ2" s="827"/>
      <c r="AK2" s="827"/>
      <c r="AL2" s="827"/>
      <c r="AM2" s="827"/>
      <c r="AN2" s="827"/>
    </row>
    <row r="3" spans="1:42" ht="15.75">
      <c r="A3" s="622" t="s">
        <v>6</v>
      </c>
      <c r="B3" s="627"/>
      <c r="C3" s="627"/>
      <c r="D3" s="627"/>
      <c r="E3" s="627"/>
      <c r="F3" s="627"/>
      <c r="G3" s="627"/>
      <c r="H3" s="627"/>
      <c r="I3" s="627"/>
      <c r="J3" s="627"/>
      <c r="K3" s="627"/>
      <c r="L3" s="627"/>
      <c r="M3" s="627"/>
      <c r="N3" s="627"/>
      <c r="O3" s="627"/>
      <c r="P3" s="627"/>
      <c r="Q3" s="622" t="s">
        <v>6</v>
      </c>
      <c r="R3" s="627"/>
      <c r="S3" s="627"/>
      <c r="T3" s="627"/>
      <c r="U3" s="627"/>
      <c r="V3" s="627"/>
      <c r="W3" s="627"/>
      <c r="X3" s="627"/>
      <c r="Y3" s="627"/>
      <c r="Z3" s="627"/>
      <c r="AA3" s="627"/>
      <c r="AB3" s="627"/>
      <c r="AC3" s="627"/>
      <c r="AD3" s="622" t="s">
        <v>6</v>
      </c>
      <c r="AE3" s="627"/>
      <c r="AF3" s="627"/>
      <c r="AG3" s="627"/>
      <c r="AH3" s="627"/>
      <c r="AI3" s="627"/>
      <c r="AJ3" s="627"/>
      <c r="AK3" s="627"/>
      <c r="AL3" s="627"/>
      <c r="AM3" s="627"/>
      <c r="AN3" s="627"/>
    </row>
    <row r="4" spans="1:42" ht="15.75">
      <c r="A4" s="826"/>
      <c r="B4" s="826"/>
      <c r="C4" s="826"/>
      <c r="D4" s="861"/>
      <c r="E4" s="866"/>
      <c r="F4" s="867"/>
      <c r="G4" s="860"/>
      <c r="H4" s="861"/>
      <c r="I4" s="860"/>
      <c r="J4" s="826"/>
      <c r="K4" s="826"/>
      <c r="L4" s="861"/>
      <c r="M4" s="826"/>
      <c r="N4" s="826"/>
      <c r="O4" s="826"/>
      <c r="P4" s="826"/>
      <c r="Q4" s="826"/>
      <c r="R4" s="826"/>
      <c r="S4" s="826"/>
      <c r="T4" s="826"/>
      <c r="U4" s="826"/>
      <c r="V4" s="826"/>
      <c r="W4" s="826"/>
      <c r="X4" s="826"/>
      <c r="Y4" s="826"/>
      <c r="Z4" s="826"/>
      <c r="AA4" s="826"/>
      <c r="AB4" s="826"/>
      <c r="AC4" s="826"/>
      <c r="AD4" s="826"/>
      <c r="AE4" s="826"/>
      <c r="AF4" s="867"/>
      <c r="AG4" s="826"/>
      <c r="AH4" s="826"/>
      <c r="AI4" s="826"/>
      <c r="AJ4" s="826"/>
      <c r="AK4" s="826"/>
      <c r="AL4" s="826"/>
      <c r="AM4" s="826"/>
      <c r="AN4" s="911"/>
    </row>
    <row r="5" spans="1:42" s="787" customFormat="1" ht="15.75">
      <c r="A5" s="828"/>
      <c r="B5" s="828"/>
      <c r="C5" s="828" t="s">
        <v>174</v>
      </c>
      <c r="D5" s="829" t="s">
        <v>370</v>
      </c>
      <c r="E5" s="828"/>
      <c r="F5" s="830" t="s">
        <v>830</v>
      </c>
      <c r="G5" s="829"/>
      <c r="H5" s="829" t="s">
        <v>714</v>
      </c>
      <c r="I5" s="829"/>
      <c r="J5" s="828" t="s">
        <v>831</v>
      </c>
      <c r="K5" s="828"/>
      <c r="L5" s="829" t="s">
        <v>716</v>
      </c>
      <c r="M5" s="828"/>
      <c r="N5" s="828" t="s">
        <v>717</v>
      </c>
      <c r="O5" s="828"/>
      <c r="P5" s="830" t="s">
        <v>737</v>
      </c>
      <c r="Q5" s="830" t="s">
        <v>738</v>
      </c>
      <c r="R5" s="830" t="s">
        <v>739</v>
      </c>
      <c r="S5" s="830" t="s">
        <v>740</v>
      </c>
      <c r="T5" s="830" t="s">
        <v>809</v>
      </c>
      <c r="U5" s="830" t="s">
        <v>810</v>
      </c>
      <c r="V5" s="830" t="s">
        <v>832</v>
      </c>
      <c r="W5" s="830" t="s">
        <v>833</v>
      </c>
      <c r="X5" s="830" t="s">
        <v>834</v>
      </c>
      <c r="Y5" s="829" t="s">
        <v>835</v>
      </c>
      <c r="Z5" s="828" t="s">
        <v>836</v>
      </c>
      <c r="AA5" s="828" t="s">
        <v>837</v>
      </c>
      <c r="AB5" s="828" t="s">
        <v>866</v>
      </c>
      <c r="AC5" s="830" t="s">
        <v>867</v>
      </c>
      <c r="AD5" s="828" t="s">
        <v>944</v>
      </c>
      <c r="AE5" s="828"/>
      <c r="AF5" s="828" t="s">
        <v>945</v>
      </c>
      <c r="AG5" s="828"/>
      <c r="AH5" s="828" t="s">
        <v>946</v>
      </c>
      <c r="AI5" s="828"/>
      <c r="AJ5" s="828" t="s">
        <v>947</v>
      </c>
      <c r="AK5" s="828"/>
      <c r="AL5" s="828" t="s">
        <v>948</v>
      </c>
      <c r="AM5" s="828"/>
      <c r="AN5" s="828" t="s">
        <v>949</v>
      </c>
    </row>
    <row r="6" spans="1:42" s="795" customFormat="1" ht="46.5" customHeight="1">
      <c r="A6" s="836" t="s">
        <v>43</v>
      </c>
      <c r="B6" s="836"/>
      <c r="C6" s="836" t="s">
        <v>868</v>
      </c>
      <c r="D6" s="836" t="s">
        <v>950</v>
      </c>
      <c r="E6" s="912" t="s">
        <v>951</v>
      </c>
      <c r="F6" s="836" t="s">
        <v>952</v>
      </c>
      <c r="G6" s="836" t="s">
        <v>164</v>
      </c>
      <c r="H6" s="836" t="s">
        <v>953</v>
      </c>
      <c r="I6" s="836" t="s">
        <v>853</v>
      </c>
      <c r="J6" s="836" t="s">
        <v>954</v>
      </c>
      <c r="K6" s="836" t="s">
        <v>164</v>
      </c>
      <c r="L6" s="836" t="s">
        <v>955</v>
      </c>
      <c r="M6" s="836" t="s">
        <v>853</v>
      </c>
      <c r="N6" s="836" t="s">
        <v>956</v>
      </c>
      <c r="O6" s="836" t="s">
        <v>164</v>
      </c>
      <c r="P6" s="836" t="s">
        <v>957</v>
      </c>
      <c r="Q6" s="834" t="s">
        <v>840</v>
      </c>
      <c r="R6" s="834" t="s">
        <v>841</v>
      </c>
      <c r="S6" s="834" t="s">
        <v>842</v>
      </c>
      <c r="T6" s="834" t="s">
        <v>843</v>
      </c>
      <c r="U6" s="834" t="s">
        <v>844</v>
      </c>
      <c r="V6" s="834" t="s">
        <v>845</v>
      </c>
      <c r="W6" s="834" t="s">
        <v>846</v>
      </c>
      <c r="X6" s="834" t="s">
        <v>847</v>
      </c>
      <c r="Y6" s="834" t="s">
        <v>848</v>
      </c>
      <c r="Z6" s="834" t="s">
        <v>849</v>
      </c>
      <c r="AA6" s="834" t="s">
        <v>850</v>
      </c>
      <c r="AB6" s="834" t="s">
        <v>851</v>
      </c>
      <c r="AC6" s="834" t="s">
        <v>840</v>
      </c>
      <c r="AD6" s="836" t="s">
        <v>958</v>
      </c>
      <c r="AE6" s="836" t="s">
        <v>853</v>
      </c>
      <c r="AF6" s="836" t="s">
        <v>959</v>
      </c>
      <c r="AG6" s="836" t="s">
        <v>853</v>
      </c>
      <c r="AH6" s="836" t="s">
        <v>960</v>
      </c>
      <c r="AI6" s="836" t="s">
        <v>164</v>
      </c>
      <c r="AJ6" s="836" t="s">
        <v>961</v>
      </c>
      <c r="AK6" s="836"/>
      <c r="AL6" s="836" t="s">
        <v>962</v>
      </c>
      <c r="AM6" s="836"/>
      <c r="AN6" s="836" t="s">
        <v>963</v>
      </c>
    </row>
    <row r="7" spans="1:42" s="795" customFormat="1" ht="48" customHeight="1">
      <c r="A7" s="836"/>
      <c r="B7" s="836"/>
      <c r="C7" s="836"/>
      <c r="D7" s="836"/>
      <c r="E7" s="912"/>
      <c r="F7" s="836"/>
      <c r="G7" s="836"/>
      <c r="H7" s="836"/>
      <c r="I7" s="836"/>
      <c r="J7" s="836"/>
      <c r="K7" s="836"/>
      <c r="L7" s="836"/>
      <c r="M7" s="836"/>
      <c r="N7" s="836"/>
      <c r="O7" s="836"/>
      <c r="P7" s="836"/>
      <c r="Q7" s="913">
        <f>R7-1</f>
        <v>2019</v>
      </c>
      <c r="R7" s="913">
        <v>2020</v>
      </c>
      <c r="S7" s="913">
        <v>2020</v>
      </c>
      <c r="T7" s="913">
        <v>2020</v>
      </c>
      <c r="U7" s="913">
        <v>2020</v>
      </c>
      <c r="V7" s="913">
        <v>2020</v>
      </c>
      <c r="W7" s="913">
        <v>2020</v>
      </c>
      <c r="X7" s="913">
        <v>2020</v>
      </c>
      <c r="Y7" s="913">
        <v>2020</v>
      </c>
      <c r="Z7" s="913">
        <v>2020</v>
      </c>
      <c r="AA7" s="913">
        <v>2020</v>
      </c>
      <c r="AB7" s="913">
        <v>2020</v>
      </c>
      <c r="AC7" s="913">
        <v>2020</v>
      </c>
      <c r="AD7" s="836"/>
      <c r="AE7" s="836"/>
      <c r="AF7" s="836"/>
      <c r="AG7" s="836"/>
      <c r="AH7" s="836"/>
      <c r="AI7" s="836"/>
      <c r="AJ7" s="836"/>
      <c r="AK7" s="836"/>
      <c r="AL7" s="836"/>
      <c r="AM7" s="836"/>
      <c r="AN7" s="836"/>
    </row>
    <row r="8" spans="1:42" ht="15.75">
      <c r="A8" s="914">
        <v>1</v>
      </c>
      <c r="B8" s="914"/>
      <c r="C8" s="915" t="s">
        <v>964</v>
      </c>
      <c r="D8" s="915">
        <v>14965794</v>
      </c>
      <c r="E8" s="916"/>
      <c r="F8" s="915">
        <f>15*12</f>
        <v>180</v>
      </c>
      <c r="G8" s="916"/>
      <c r="H8" s="917">
        <f t="shared" ref="H8:H17" si="0">IFERROR(D8/F8,0)</f>
        <v>83143.3</v>
      </c>
      <c r="I8" s="918"/>
      <c r="J8" s="919">
        <v>4.7742000000000004</v>
      </c>
      <c r="K8" s="918"/>
      <c r="L8" s="920">
        <f t="shared" ref="L8:L17" si="1">IFERROR(H8*J8,0)</f>
        <v>396942.74286000006</v>
      </c>
      <c r="M8" s="921"/>
      <c r="N8" s="922">
        <v>1</v>
      </c>
      <c r="O8" s="918"/>
      <c r="P8" s="917">
        <f t="shared" ref="P8:P17" si="2">IFERROR(L8*N8,0)</f>
        <v>396942.74286000006</v>
      </c>
      <c r="Q8" s="923">
        <v>0</v>
      </c>
      <c r="R8" s="923">
        <v>0</v>
      </c>
      <c r="S8" s="923">
        <v>0</v>
      </c>
      <c r="T8" s="923">
        <v>0</v>
      </c>
      <c r="U8" s="923">
        <v>0</v>
      </c>
      <c r="V8" s="923">
        <v>0</v>
      </c>
      <c r="W8" s="923">
        <v>0</v>
      </c>
      <c r="X8" s="923">
        <v>0</v>
      </c>
      <c r="Y8" s="923">
        <v>14901424.993548388</v>
      </c>
      <c r="Z8" s="923">
        <f t="shared" ref="Z8:AC8" si="3">+Y8-$H8</f>
        <v>14818281.693548387</v>
      </c>
      <c r="AA8" s="923">
        <f t="shared" si="3"/>
        <v>14735138.393548386</v>
      </c>
      <c r="AB8" s="923">
        <f t="shared" si="3"/>
        <v>14651995.093548385</v>
      </c>
      <c r="AC8" s="923">
        <f t="shared" si="3"/>
        <v>14568851.793548385</v>
      </c>
      <c r="AD8" s="917">
        <f>SUM(Q8:AC8)/13</f>
        <v>5667360.9205955332</v>
      </c>
      <c r="AE8" s="918"/>
      <c r="AF8" s="922">
        <v>1</v>
      </c>
      <c r="AG8" s="850"/>
      <c r="AH8" s="924">
        <f t="shared" ref="AH8:AH17" si="4">N8</f>
        <v>1</v>
      </c>
      <c r="AI8" s="850"/>
      <c r="AJ8" s="917">
        <f>+AD8*AF8*AH8</f>
        <v>5667360.9205955332</v>
      </c>
      <c r="AK8" s="850"/>
      <c r="AL8" s="925"/>
      <c r="AM8" s="850"/>
      <c r="AN8" s="843" t="s">
        <v>965</v>
      </c>
      <c r="AP8" s="783"/>
    </row>
    <row r="9" spans="1:42" ht="15.75">
      <c r="A9" s="850" t="s">
        <v>257</v>
      </c>
      <c r="B9" s="850"/>
      <c r="C9" s="840"/>
      <c r="D9" s="852"/>
      <c r="E9" s="854"/>
      <c r="F9" s="852"/>
      <c r="G9" s="854"/>
      <c r="H9" s="853">
        <f t="shared" si="0"/>
        <v>0</v>
      </c>
      <c r="I9" s="850"/>
      <c r="J9" s="852"/>
      <c r="K9" s="850"/>
      <c r="L9" s="926">
        <f t="shared" si="1"/>
        <v>0</v>
      </c>
      <c r="M9" s="927"/>
      <c r="N9" s="928"/>
      <c r="O9" s="850"/>
      <c r="P9" s="853">
        <f t="shared" si="2"/>
        <v>0</v>
      </c>
      <c r="Q9" s="929"/>
      <c r="R9" s="929"/>
      <c r="S9" s="929"/>
      <c r="T9" s="929"/>
      <c r="U9" s="929"/>
      <c r="V9" s="929"/>
      <c r="W9" s="929"/>
      <c r="X9" s="929"/>
      <c r="Y9" s="929"/>
      <c r="Z9" s="929"/>
      <c r="AA9" s="929"/>
      <c r="AB9" s="929"/>
      <c r="AC9" s="929"/>
      <c r="AD9" s="930">
        <f t="shared" ref="AD9:AD13" si="5">SUM(Q9:AC9)/13</f>
        <v>0</v>
      </c>
      <c r="AE9" s="850"/>
      <c r="AF9" s="855">
        <v>0</v>
      </c>
      <c r="AG9" s="850"/>
      <c r="AH9" s="924">
        <f t="shared" si="4"/>
        <v>0</v>
      </c>
      <c r="AI9" s="850"/>
      <c r="AJ9" s="917">
        <f t="shared" ref="AJ9:AJ17" si="6">+AD9*AF9*AH9</f>
        <v>0</v>
      </c>
      <c r="AK9" s="850"/>
      <c r="AL9" s="843"/>
      <c r="AM9" s="850"/>
      <c r="AN9" s="843"/>
      <c r="AP9" s="783"/>
    </row>
    <row r="10" spans="1:42" ht="15.75">
      <c r="A10" s="850" t="s">
        <v>857</v>
      </c>
      <c r="B10" s="850"/>
      <c r="C10" s="840"/>
      <c r="D10" s="852"/>
      <c r="E10" s="854"/>
      <c r="F10" s="852"/>
      <c r="G10" s="854"/>
      <c r="H10" s="853">
        <f t="shared" si="0"/>
        <v>0</v>
      </c>
      <c r="I10" s="850"/>
      <c r="J10" s="852"/>
      <c r="K10" s="850"/>
      <c r="L10" s="926">
        <f t="shared" si="1"/>
        <v>0</v>
      </c>
      <c r="M10" s="927"/>
      <c r="N10" s="928"/>
      <c r="O10" s="850"/>
      <c r="P10" s="853">
        <f t="shared" si="2"/>
        <v>0</v>
      </c>
      <c r="Q10" s="929"/>
      <c r="R10" s="929"/>
      <c r="S10" s="929"/>
      <c r="T10" s="929"/>
      <c r="U10" s="929"/>
      <c r="V10" s="929"/>
      <c r="W10" s="929"/>
      <c r="X10" s="929"/>
      <c r="Y10" s="929"/>
      <c r="Z10" s="929"/>
      <c r="AA10" s="929"/>
      <c r="AB10" s="929"/>
      <c r="AC10" s="929"/>
      <c r="AD10" s="930">
        <f t="shared" si="5"/>
        <v>0</v>
      </c>
      <c r="AE10" s="850"/>
      <c r="AF10" s="855">
        <v>0</v>
      </c>
      <c r="AG10" s="850"/>
      <c r="AH10" s="924">
        <f t="shared" si="4"/>
        <v>0</v>
      </c>
      <c r="AI10" s="850"/>
      <c r="AJ10" s="917">
        <f t="shared" si="6"/>
        <v>0</v>
      </c>
      <c r="AK10" s="850"/>
      <c r="AL10" s="843"/>
      <c r="AM10" s="850"/>
      <c r="AN10" s="843"/>
      <c r="AP10" s="783"/>
    </row>
    <row r="11" spans="1:42" ht="15.75">
      <c r="A11" s="850" t="s">
        <v>858</v>
      </c>
      <c r="B11" s="850"/>
      <c r="C11" s="840"/>
      <c r="D11" s="852"/>
      <c r="E11" s="854"/>
      <c r="F11" s="852"/>
      <c r="G11" s="854"/>
      <c r="H11" s="853">
        <f t="shared" si="0"/>
        <v>0</v>
      </c>
      <c r="I11" s="850"/>
      <c r="J11" s="852"/>
      <c r="K11" s="850"/>
      <c r="L11" s="926">
        <f t="shared" si="1"/>
        <v>0</v>
      </c>
      <c r="M11" s="927"/>
      <c r="N11" s="928"/>
      <c r="O11" s="850"/>
      <c r="P11" s="853">
        <f t="shared" si="2"/>
        <v>0</v>
      </c>
      <c r="Q11" s="929"/>
      <c r="R11" s="929"/>
      <c r="S11" s="929"/>
      <c r="T11" s="929"/>
      <c r="U11" s="929"/>
      <c r="V11" s="929"/>
      <c r="W11" s="929"/>
      <c r="X11" s="929"/>
      <c r="Y11" s="929"/>
      <c r="Z11" s="929"/>
      <c r="AA11" s="929"/>
      <c r="AB11" s="929"/>
      <c r="AC11" s="929"/>
      <c r="AD11" s="930">
        <f t="shared" si="5"/>
        <v>0</v>
      </c>
      <c r="AE11" s="850"/>
      <c r="AF11" s="855">
        <v>0</v>
      </c>
      <c r="AG11" s="850"/>
      <c r="AH11" s="924">
        <f t="shared" si="4"/>
        <v>0</v>
      </c>
      <c r="AI11" s="850"/>
      <c r="AJ11" s="917">
        <f t="shared" si="6"/>
        <v>0</v>
      </c>
      <c r="AK11" s="850"/>
      <c r="AL11" s="843"/>
      <c r="AM11" s="850"/>
      <c r="AN11" s="843"/>
      <c r="AP11" s="783"/>
    </row>
    <row r="12" spans="1:42" ht="15.75">
      <c r="A12" s="850" t="s">
        <v>259</v>
      </c>
      <c r="B12" s="850"/>
      <c r="C12" s="840"/>
      <c r="D12" s="852"/>
      <c r="E12" s="854"/>
      <c r="F12" s="852"/>
      <c r="G12" s="854"/>
      <c r="H12" s="853">
        <f t="shared" si="0"/>
        <v>0</v>
      </c>
      <c r="I12" s="850"/>
      <c r="J12" s="852"/>
      <c r="K12" s="850"/>
      <c r="L12" s="926">
        <f t="shared" si="1"/>
        <v>0</v>
      </c>
      <c r="M12" s="927"/>
      <c r="N12" s="928"/>
      <c r="O12" s="850"/>
      <c r="P12" s="853">
        <f t="shared" si="2"/>
        <v>0</v>
      </c>
      <c r="Q12" s="929"/>
      <c r="R12" s="929"/>
      <c r="S12" s="929"/>
      <c r="T12" s="929"/>
      <c r="U12" s="929"/>
      <c r="V12" s="929"/>
      <c r="W12" s="929"/>
      <c r="X12" s="929"/>
      <c r="Y12" s="929"/>
      <c r="Z12" s="929"/>
      <c r="AA12" s="929"/>
      <c r="AB12" s="929"/>
      <c r="AC12" s="929"/>
      <c r="AD12" s="930">
        <f t="shared" si="5"/>
        <v>0</v>
      </c>
      <c r="AE12" s="850"/>
      <c r="AF12" s="855">
        <v>0</v>
      </c>
      <c r="AG12" s="850"/>
      <c r="AH12" s="924">
        <f t="shared" si="4"/>
        <v>0</v>
      </c>
      <c r="AI12" s="850"/>
      <c r="AJ12" s="917">
        <f t="shared" si="6"/>
        <v>0</v>
      </c>
      <c r="AK12" s="850"/>
      <c r="AL12" s="843"/>
      <c r="AM12" s="850"/>
      <c r="AN12" s="843"/>
      <c r="AP12" s="783"/>
    </row>
    <row r="13" spans="1:42" ht="15.75">
      <c r="A13" s="850" t="s">
        <v>259</v>
      </c>
      <c r="B13" s="850"/>
      <c r="C13" s="840"/>
      <c r="D13" s="852"/>
      <c r="E13" s="854"/>
      <c r="F13" s="852"/>
      <c r="G13" s="854"/>
      <c r="H13" s="853">
        <f t="shared" si="0"/>
        <v>0</v>
      </c>
      <c r="I13" s="850"/>
      <c r="J13" s="852"/>
      <c r="K13" s="850"/>
      <c r="L13" s="926">
        <f t="shared" si="1"/>
        <v>0</v>
      </c>
      <c r="M13" s="927"/>
      <c r="N13" s="928"/>
      <c r="O13" s="850"/>
      <c r="P13" s="853">
        <f t="shared" si="2"/>
        <v>0</v>
      </c>
      <c r="Q13" s="929"/>
      <c r="R13" s="929"/>
      <c r="S13" s="929"/>
      <c r="T13" s="929"/>
      <c r="U13" s="929"/>
      <c r="V13" s="929"/>
      <c r="W13" s="929"/>
      <c r="X13" s="929"/>
      <c r="Y13" s="929"/>
      <c r="Z13" s="929"/>
      <c r="AA13" s="929"/>
      <c r="AB13" s="929"/>
      <c r="AC13" s="929"/>
      <c r="AD13" s="930">
        <f t="shared" si="5"/>
        <v>0</v>
      </c>
      <c r="AE13" s="850"/>
      <c r="AF13" s="855">
        <v>0</v>
      </c>
      <c r="AG13" s="850"/>
      <c r="AH13" s="924">
        <f t="shared" si="4"/>
        <v>0</v>
      </c>
      <c r="AI13" s="850"/>
      <c r="AJ13" s="917">
        <f t="shared" si="6"/>
        <v>0</v>
      </c>
      <c r="AK13" s="850"/>
      <c r="AL13" s="843"/>
      <c r="AM13" s="850"/>
      <c r="AN13" s="843"/>
      <c r="AP13" s="783"/>
    </row>
    <row r="14" spans="1:42" ht="15.75">
      <c r="A14" s="850" t="s">
        <v>259</v>
      </c>
      <c r="B14" s="850"/>
      <c r="C14" s="840"/>
      <c r="D14" s="852"/>
      <c r="E14" s="854"/>
      <c r="F14" s="852"/>
      <c r="G14" s="854"/>
      <c r="H14" s="853">
        <f t="shared" si="0"/>
        <v>0</v>
      </c>
      <c r="I14" s="850"/>
      <c r="J14" s="852"/>
      <c r="K14" s="850"/>
      <c r="L14" s="926">
        <f t="shared" si="1"/>
        <v>0</v>
      </c>
      <c r="M14" s="927"/>
      <c r="N14" s="928"/>
      <c r="O14" s="850"/>
      <c r="P14" s="853">
        <f t="shared" si="2"/>
        <v>0</v>
      </c>
      <c r="Q14" s="929"/>
      <c r="R14" s="929"/>
      <c r="S14" s="929"/>
      <c r="T14" s="929"/>
      <c r="U14" s="929"/>
      <c r="V14" s="929"/>
      <c r="W14" s="929"/>
      <c r="X14" s="929"/>
      <c r="Y14" s="929"/>
      <c r="Z14" s="929"/>
      <c r="AA14" s="929"/>
      <c r="AB14" s="929"/>
      <c r="AC14" s="929"/>
      <c r="AD14" s="930">
        <f t="shared" ref="AD14:AD17" si="7">SUM(Q14:AC14)/13</f>
        <v>0</v>
      </c>
      <c r="AE14" s="850"/>
      <c r="AF14" s="855">
        <v>0</v>
      </c>
      <c r="AG14" s="850"/>
      <c r="AH14" s="924">
        <f t="shared" si="4"/>
        <v>0</v>
      </c>
      <c r="AI14" s="850"/>
      <c r="AJ14" s="917">
        <f t="shared" si="6"/>
        <v>0</v>
      </c>
      <c r="AK14" s="850"/>
      <c r="AL14" s="843"/>
      <c r="AM14" s="850"/>
      <c r="AN14" s="843"/>
      <c r="AP14" s="783"/>
    </row>
    <row r="15" spans="1:42" ht="15.75">
      <c r="A15" s="850" t="s">
        <v>259</v>
      </c>
      <c r="B15" s="850"/>
      <c r="C15" s="840"/>
      <c r="D15" s="852"/>
      <c r="E15" s="854"/>
      <c r="F15" s="852"/>
      <c r="G15" s="854"/>
      <c r="H15" s="853">
        <f t="shared" si="0"/>
        <v>0</v>
      </c>
      <c r="I15" s="850"/>
      <c r="J15" s="852"/>
      <c r="K15" s="850"/>
      <c r="L15" s="926">
        <f t="shared" si="1"/>
        <v>0</v>
      </c>
      <c r="M15" s="927"/>
      <c r="N15" s="928"/>
      <c r="O15" s="850"/>
      <c r="P15" s="853">
        <f t="shared" si="2"/>
        <v>0</v>
      </c>
      <c r="Q15" s="929"/>
      <c r="R15" s="929"/>
      <c r="S15" s="929"/>
      <c r="T15" s="929"/>
      <c r="U15" s="929"/>
      <c r="V15" s="929"/>
      <c r="W15" s="929"/>
      <c r="X15" s="929"/>
      <c r="Y15" s="929"/>
      <c r="Z15" s="929"/>
      <c r="AA15" s="929"/>
      <c r="AB15" s="929"/>
      <c r="AC15" s="929"/>
      <c r="AD15" s="930">
        <f t="shared" si="7"/>
        <v>0</v>
      </c>
      <c r="AE15" s="850"/>
      <c r="AF15" s="855">
        <v>0</v>
      </c>
      <c r="AG15" s="850"/>
      <c r="AH15" s="924">
        <f t="shared" si="4"/>
        <v>0</v>
      </c>
      <c r="AI15" s="850"/>
      <c r="AJ15" s="917">
        <f t="shared" si="6"/>
        <v>0</v>
      </c>
      <c r="AK15" s="850"/>
      <c r="AL15" s="843"/>
      <c r="AM15" s="850"/>
      <c r="AN15" s="843"/>
      <c r="AP15" s="783"/>
    </row>
    <row r="16" spans="1:42" ht="15.75">
      <c r="A16" s="850" t="s">
        <v>259</v>
      </c>
      <c r="B16" s="850"/>
      <c r="C16" s="840"/>
      <c r="D16" s="852"/>
      <c r="E16" s="854"/>
      <c r="F16" s="852"/>
      <c r="G16" s="854"/>
      <c r="H16" s="853">
        <f t="shared" si="0"/>
        <v>0</v>
      </c>
      <c r="I16" s="850"/>
      <c r="J16" s="852"/>
      <c r="K16" s="850"/>
      <c r="L16" s="926">
        <f t="shared" si="1"/>
        <v>0</v>
      </c>
      <c r="M16" s="927"/>
      <c r="N16" s="928"/>
      <c r="O16" s="850"/>
      <c r="P16" s="853">
        <f t="shared" si="2"/>
        <v>0</v>
      </c>
      <c r="Q16" s="929"/>
      <c r="R16" s="929"/>
      <c r="S16" s="929"/>
      <c r="T16" s="929"/>
      <c r="U16" s="929"/>
      <c r="V16" s="929"/>
      <c r="W16" s="929"/>
      <c r="X16" s="929"/>
      <c r="Y16" s="929"/>
      <c r="Z16" s="929"/>
      <c r="AA16" s="929"/>
      <c r="AB16" s="929"/>
      <c r="AC16" s="929"/>
      <c r="AD16" s="930">
        <f t="shared" si="7"/>
        <v>0</v>
      </c>
      <c r="AE16" s="850"/>
      <c r="AF16" s="855">
        <v>0</v>
      </c>
      <c r="AG16" s="850"/>
      <c r="AH16" s="924">
        <f t="shared" si="4"/>
        <v>0</v>
      </c>
      <c r="AI16" s="850"/>
      <c r="AJ16" s="917">
        <f t="shared" si="6"/>
        <v>0</v>
      </c>
      <c r="AK16" s="850"/>
      <c r="AL16" s="843"/>
      <c r="AM16" s="850"/>
      <c r="AN16" s="843"/>
      <c r="AP16" s="783"/>
    </row>
    <row r="17" spans="1:42" ht="15.75">
      <c r="A17" s="850" t="s">
        <v>261</v>
      </c>
      <c r="B17" s="850"/>
      <c r="C17" s="840"/>
      <c r="D17" s="852"/>
      <c r="E17" s="862"/>
      <c r="F17" s="900"/>
      <c r="G17" s="862"/>
      <c r="H17" s="899">
        <f t="shared" si="0"/>
        <v>0</v>
      </c>
      <c r="I17" s="931"/>
      <c r="J17" s="900"/>
      <c r="K17" s="931"/>
      <c r="L17" s="926">
        <f t="shared" si="1"/>
        <v>0</v>
      </c>
      <c r="M17" s="932"/>
      <c r="N17" s="933"/>
      <c r="O17" s="931"/>
      <c r="P17" s="899">
        <f t="shared" si="2"/>
        <v>0</v>
      </c>
      <c r="Q17" s="934"/>
      <c r="R17" s="934"/>
      <c r="S17" s="934"/>
      <c r="T17" s="934"/>
      <c r="U17" s="934"/>
      <c r="V17" s="934"/>
      <c r="W17" s="934"/>
      <c r="X17" s="934"/>
      <c r="Y17" s="934"/>
      <c r="Z17" s="934"/>
      <c r="AA17" s="934"/>
      <c r="AB17" s="934"/>
      <c r="AC17" s="934"/>
      <c r="AD17" s="935">
        <f t="shared" si="7"/>
        <v>0</v>
      </c>
      <c r="AE17" s="931"/>
      <c r="AF17" s="936">
        <v>0</v>
      </c>
      <c r="AG17" s="931"/>
      <c r="AH17" s="937">
        <f t="shared" si="4"/>
        <v>0</v>
      </c>
      <c r="AI17" s="931"/>
      <c r="AJ17" s="917">
        <f t="shared" si="6"/>
        <v>0</v>
      </c>
      <c r="AK17" s="931"/>
      <c r="AL17" s="938"/>
      <c r="AM17" s="939"/>
      <c r="AN17" s="940"/>
      <c r="AP17" s="783"/>
    </row>
    <row r="18" spans="1:42" ht="15" customHeight="1">
      <c r="A18" s="826">
        <v>2</v>
      </c>
      <c r="B18" s="826"/>
      <c r="C18" s="826"/>
      <c r="D18" s="826"/>
      <c r="E18" s="941" t="s">
        <v>966</v>
      </c>
      <c r="F18" s="941"/>
      <c r="G18" s="941"/>
      <c r="H18" s="941"/>
      <c r="I18" s="941"/>
      <c r="J18" s="941"/>
      <c r="K18" s="941"/>
      <c r="L18" s="941"/>
      <c r="M18" s="941"/>
      <c r="N18" s="941"/>
      <c r="O18" s="941"/>
      <c r="P18" s="942">
        <f>SUM(P8:P17)</f>
        <v>396942.74286000006</v>
      </c>
      <c r="Q18" s="943">
        <f>SUM(Q8:Q17)</f>
        <v>0</v>
      </c>
      <c r="R18" s="826"/>
      <c r="S18" s="944" t="s">
        <v>967</v>
      </c>
      <c r="T18" s="944"/>
      <c r="U18" s="944"/>
      <c r="V18" s="944"/>
      <c r="W18" s="944"/>
      <c r="X18" s="944"/>
      <c r="Y18" s="944"/>
      <c r="Z18" s="944"/>
      <c r="AA18" s="944"/>
      <c r="AB18" s="826"/>
      <c r="AC18" s="943">
        <f>SUM(AC8:AC17)</f>
        <v>14568851.793548385</v>
      </c>
      <c r="AD18" s="945" t="s">
        <v>968</v>
      </c>
      <c r="AE18" s="945"/>
      <c r="AF18" s="945"/>
      <c r="AG18" s="945"/>
      <c r="AH18" s="945"/>
      <c r="AI18" s="945"/>
      <c r="AJ18" s="902">
        <f>SUM(AJ8:AJ17)</f>
        <v>5667360.9205955332</v>
      </c>
      <c r="AK18" s="946"/>
      <c r="AL18" s="911"/>
      <c r="AM18" s="826"/>
      <c r="AN18" s="826"/>
      <c r="AP18" s="783"/>
    </row>
    <row r="19" spans="1:42" ht="15.75">
      <c r="A19" s="826"/>
      <c r="B19" s="826"/>
      <c r="C19" s="826"/>
      <c r="D19" s="861"/>
      <c r="E19" s="866"/>
      <c r="F19" s="867"/>
      <c r="G19" s="860"/>
      <c r="H19" s="861"/>
      <c r="I19" s="860"/>
      <c r="J19" s="826"/>
      <c r="K19" s="826"/>
      <c r="L19" s="861"/>
      <c r="M19" s="826"/>
      <c r="N19" s="826"/>
      <c r="O19" s="826"/>
      <c r="P19" s="826"/>
      <c r="Q19" s="826"/>
      <c r="R19" s="826"/>
      <c r="S19" s="826"/>
      <c r="T19" s="826"/>
      <c r="U19" s="826"/>
      <c r="V19" s="826"/>
      <c r="W19" s="826"/>
      <c r="X19" s="826"/>
      <c r="Y19" s="826"/>
      <c r="Z19" s="826"/>
      <c r="AA19" s="826"/>
      <c r="AB19" s="826"/>
      <c r="AC19" s="826"/>
      <c r="AD19" s="826"/>
      <c r="AE19" s="826"/>
      <c r="AF19" s="867"/>
      <c r="AG19" s="826"/>
      <c r="AH19" s="826"/>
      <c r="AI19" s="826"/>
      <c r="AJ19" s="826"/>
      <c r="AK19" s="826"/>
      <c r="AL19" s="826"/>
      <c r="AM19" s="826"/>
      <c r="AN19" s="911"/>
    </row>
    <row r="20" spans="1:42" ht="15.75">
      <c r="A20" s="826"/>
      <c r="B20" s="826"/>
      <c r="C20" s="826" t="s">
        <v>969</v>
      </c>
      <c r="D20" s="861"/>
      <c r="E20" s="866"/>
      <c r="F20" s="867"/>
      <c r="G20" s="860"/>
      <c r="H20" s="861"/>
      <c r="I20" s="860"/>
      <c r="J20" s="826"/>
      <c r="K20" s="826"/>
      <c r="L20" s="861"/>
      <c r="M20" s="826"/>
      <c r="N20" s="826"/>
      <c r="O20" s="826"/>
      <c r="P20" s="826"/>
      <c r="Q20" s="944"/>
      <c r="R20" s="944"/>
      <c r="S20" s="944"/>
      <c r="T20" s="826"/>
      <c r="U20" s="826"/>
      <c r="V20" s="826"/>
      <c r="W20" s="826"/>
      <c r="X20" s="826"/>
      <c r="Y20" s="826"/>
      <c r="Z20" s="826"/>
      <c r="AA20" s="826"/>
      <c r="AB20" s="826"/>
      <c r="AC20" s="944"/>
      <c r="AD20" s="826"/>
      <c r="AE20" s="826"/>
      <c r="AF20" s="826"/>
      <c r="AG20" s="826" t="s">
        <v>861</v>
      </c>
      <c r="AH20" s="911"/>
      <c r="AI20" s="826"/>
      <c r="AJ20" s="826"/>
      <c r="AK20" s="826"/>
      <c r="AL20" s="826"/>
      <c r="AM20" s="826"/>
      <c r="AN20" s="826"/>
      <c r="AP20" s="783"/>
    </row>
    <row r="21" spans="1:42" ht="21" customHeight="1">
      <c r="A21" s="870"/>
      <c r="B21" s="870" t="s">
        <v>38</v>
      </c>
      <c r="C21" s="872" t="s">
        <v>970</v>
      </c>
      <c r="D21" s="872"/>
      <c r="E21" s="872"/>
      <c r="F21" s="872"/>
      <c r="G21" s="872"/>
      <c r="H21" s="872"/>
      <c r="I21" s="872"/>
      <c r="J21" s="872"/>
      <c r="K21" s="872"/>
      <c r="L21" s="875"/>
      <c r="M21" s="875"/>
      <c r="N21" s="875"/>
      <c r="O21" s="875"/>
      <c r="P21" s="947"/>
      <c r="Q21" s="948"/>
      <c r="R21" s="948"/>
      <c r="S21" s="948"/>
      <c r="T21" s="877"/>
      <c r="U21" s="877"/>
      <c r="V21" s="877"/>
      <c r="W21" s="877"/>
      <c r="X21" s="877"/>
      <c r="Y21" s="877"/>
      <c r="Z21" s="877"/>
      <c r="AA21" s="877"/>
      <c r="AB21" s="877"/>
      <c r="AC21" s="877"/>
      <c r="AD21" s="826"/>
      <c r="AE21" s="826"/>
      <c r="AF21" s="871" t="s">
        <v>39</v>
      </c>
      <c r="AG21" s="876" t="s">
        <v>971</v>
      </c>
      <c r="AH21" s="871"/>
      <c r="AI21" s="877"/>
      <c r="AJ21" s="877"/>
      <c r="AK21" s="877"/>
      <c r="AL21" s="877"/>
      <c r="AM21" s="877"/>
      <c r="AN21" s="826"/>
      <c r="AP21" s="783"/>
    </row>
    <row r="22" spans="1:42" ht="17.25" customHeight="1">
      <c r="A22" s="870"/>
      <c r="B22" s="870"/>
      <c r="C22" s="872"/>
      <c r="D22" s="872"/>
      <c r="E22" s="872"/>
      <c r="F22" s="872"/>
      <c r="G22" s="872"/>
      <c r="H22" s="872"/>
      <c r="I22" s="872"/>
      <c r="J22" s="872"/>
      <c r="K22" s="872"/>
      <c r="L22" s="875"/>
      <c r="M22" s="875"/>
      <c r="N22" s="875"/>
      <c r="O22" s="875"/>
      <c r="P22" s="949"/>
      <c r="Q22" s="877"/>
      <c r="R22" s="877"/>
      <c r="S22" s="877"/>
      <c r="T22" s="877"/>
      <c r="U22" s="877"/>
      <c r="V22" s="877"/>
      <c r="W22" s="877"/>
      <c r="X22" s="877"/>
      <c r="Y22" s="877"/>
      <c r="Z22" s="877"/>
      <c r="AA22" s="877"/>
      <c r="AB22" s="877"/>
      <c r="AC22" s="877"/>
      <c r="AD22" s="826"/>
      <c r="AE22" s="826"/>
      <c r="AF22" s="871"/>
      <c r="AG22" s="826"/>
      <c r="AH22" s="871"/>
      <c r="AI22" s="826"/>
      <c r="AJ22" s="826"/>
      <c r="AK22" s="877"/>
      <c r="AL22" s="877"/>
      <c r="AM22" s="877"/>
      <c r="AN22" s="826"/>
      <c r="AP22" s="783"/>
    </row>
    <row r="23" spans="1:42" ht="11.25" customHeight="1">
      <c r="A23" s="870"/>
      <c r="B23" s="870"/>
      <c r="C23" s="874"/>
      <c r="D23" s="874"/>
      <c r="E23" s="874"/>
      <c r="F23" s="874"/>
      <c r="G23" s="874"/>
      <c r="H23" s="874"/>
      <c r="I23" s="874"/>
      <c r="J23" s="874"/>
      <c r="K23" s="875"/>
      <c r="L23" s="875"/>
      <c r="M23" s="875"/>
      <c r="N23" s="875"/>
      <c r="O23" s="875"/>
      <c r="P23" s="875"/>
      <c r="Q23" s="826"/>
      <c r="R23" s="826"/>
      <c r="S23" s="826"/>
      <c r="T23" s="826"/>
      <c r="U23" s="826"/>
      <c r="V23" s="826"/>
      <c r="W23" s="826"/>
      <c r="X23" s="826"/>
      <c r="Y23" s="826"/>
      <c r="Z23" s="826"/>
      <c r="AA23" s="826"/>
      <c r="AB23" s="826"/>
      <c r="AC23" s="826"/>
      <c r="AD23" s="826"/>
      <c r="AE23" s="826"/>
      <c r="AF23" s="826"/>
      <c r="AG23" s="826"/>
      <c r="AH23" s="826"/>
      <c r="AI23" s="826"/>
      <c r="AJ23" s="826"/>
      <c r="AK23" s="826"/>
      <c r="AL23" s="826"/>
      <c r="AM23" s="826"/>
      <c r="AN23" s="826"/>
      <c r="AP23" s="783"/>
    </row>
    <row r="24" spans="1:42" ht="15.75">
      <c r="A24" s="870"/>
      <c r="B24" s="870"/>
      <c r="C24" s="874"/>
      <c r="D24" s="874"/>
      <c r="E24" s="874"/>
      <c r="F24" s="874"/>
      <c r="G24" s="874"/>
      <c r="H24" s="874"/>
      <c r="I24" s="874"/>
      <c r="J24" s="874"/>
      <c r="K24" s="875"/>
      <c r="L24" s="875"/>
      <c r="M24" s="875"/>
      <c r="N24" s="875"/>
      <c r="O24" s="875"/>
      <c r="P24" s="875"/>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P24" s="783"/>
    </row>
    <row r="25" spans="1:42" ht="15.75">
      <c r="A25" s="870"/>
      <c r="B25" s="870"/>
      <c r="C25" s="874"/>
      <c r="D25" s="874"/>
      <c r="E25" s="874"/>
      <c r="F25" s="874"/>
      <c r="G25" s="874"/>
      <c r="H25" s="874"/>
      <c r="I25" s="874"/>
      <c r="J25" s="874"/>
      <c r="K25" s="826"/>
      <c r="L25" s="861"/>
      <c r="M25" s="877"/>
      <c r="N25" s="826"/>
      <c r="O25" s="826"/>
      <c r="P25" s="826"/>
      <c r="Q25" s="826"/>
      <c r="R25" s="826"/>
      <c r="S25" s="826"/>
      <c r="T25" s="826"/>
      <c r="U25" s="826"/>
      <c r="V25" s="826"/>
      <c r="W25" s="826"/>
      <c r="X25" s="826"/>
      <c r="Y25" s="826"/>
      <c r="Z25" s="826"/>
      <c r="AA25" s="826"/>
      <c r="AB25" s="826"/>
      <c r="AC25" s="826"/>
      <c r="AD25" s="826"/>
      <c r="AE25" s="826"/>
      <c r="AF25" s="826"/>
      <c r="AG25" s="826"/>
      <c r="AH25" s="826"/>
      <c r="AI25" s="826"/>
      <c r="AJ25" s="826"/>
      <c r="AK25" s="826"/>
      <c r="AL25" s="826"/>
      <c r="AM25" s="826"/>
      <c r="AN25" s="826"/>
      <c r="AP25" s="783"/>
    </row>
    <row r="26" spans="1:42">
      <c r="A26" s="810"/>
      <c r="B26" s="810"/>
      <c r="AF26" s="783"/>
      <c r="AN26" s="783"/>
      <c r="AP26" s="783"/>
    </row>
    <row r="27" spans="1:42">
      <c r="A27" s="810"/>
      <c r="B27" s="810"/>
      <c r="AF27" s="783"/>
      <c r="AN27" s="783"/>
      <c r="AP27" s="783"/>
    </row>
    <row r="28" spans="1:42">
      <c r="A28" s="810"/>
      <c r="B28" s="810"/>
      <c r="AF28" s="783"/>
      <c r="AN28" s="783"/>
      <c r="AP28" s="783"/>
    </row>
    <row r="29" spans="1:42">
      <c r="A29" s="810"/>
      <c r="B29" s="810"/>
      <c r="AF29" s="783"/>
      <c r="AN29" s="783"/>
      <c r="AP29" s="783"/>
    </row>
    <row r="30" spans="1:42">
      <c r="A30" s="810"/>
      <c r="B30" s="810"/>
      <c r="AN30" s="783"/>
      <c r="AP30" s="783"/>
    </row>
    <row r="31" spans="1:42">
      <c r="A31" s="810"/>
      <c r="B31" s="810"/>
      <c r="AN31" s="783"/>
      <c r="AP31" s="783"/>
    </row>
    <row r="32" spans="1:42">
      <c r="B32" s="810"/>
    </row>
  </sheetData>
  <mergeCells count="38">
    <mergeCell ref="AM6:AM7"/>
    <mergeCell ref="AN6:AN7"/>
    <mergeCell ref="E18:O18"/>
    <mergeCell ref="C21:K22"/>
    <mergeCell ref="AG6:AG7"/>
    <mergeCell ref="AH6:AH7"/>
    <mergeCell ref="AI6:AI7"/>
    <mergeCell ref="AJ6:AJ7"/>
    <mergeCell ref="AK6:AK7"/>
    <mergeCell ref="AL6:AL7"/>
    <mergeCell ref="N6:N7"/>
    <mergeCell ref="O6:O7"/>
    <mergeCell ref="P6:P7"/>
    <mergeCell ref="AD6:AD7"/>
    <mergeCell ref="AE6:AE7"/>
    <mergeCell ref="AF6:AF7"/>
    <mergeCell ref="H6:H7"/>
    <mergeCell ref="I6:I7"/>
    <mergeCell ref="J6:J7"/>
    <mergeCell ref="K6:K7"/>
    <mergeCell ref="L6:L7"/>
    <mergeCell ref="M6:M7"/>
    <mergeCell ref="A3:P3"/>
    <mergeCell ref="Q3:AC3"/>
    <mergeCell ref="AD3:AN3"/>
    <mergeCell ref="A6:A7"/>
    <mergeCell ref="B6:B7"/>
    <mergeCell ref="C6:C7"/>
    <mergeCell ref="D6:D7"/>
    <mergeCell ref="E6:E7"/>
    <mergeCell ref="F6:F7"/>
    <mergeCell ref="G6:G7"/>
    <mergeCell ref="A1:P1"/>
    <mergeCell ref="Q1:AC1"/>
    <mergeCell ref="AD1:AN1"/>
    <mergeCell ref="A2:P2"/>
    <mergeCell ref="Q2:AC2"/>
    <mergeCell ref="AD2:AN2"/>
  </mergeCells>
  <pageMargins left="0.7" right="0.7" top="0.75" bottom="0.75" header="0.3" footer="0.3"/>
  <pageSetup scale="32" orientation="landscape" r:id="rId1"/>
  <headerFooter>
    <oddFooter>&amp;R&amp;"Arial,Regular"Page &amp;P of &amp;N</oddFooter>
  </headerFooter>
  <colBreaks count="2" manualBreakCount="2">
    <brk id="16" max="1048575" man="1"/>
    <brk id="2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63450-4119-4AC3-ABF9-8DDB3D97C722}">
  <sheetPr>
    <pageSetUpPr fitToPage="1"/>
  </sheetPr>
  <dimension ref="A1:I264"/>
  <sheetViews>
    <sheetView view="pageBreakPreview" zoomScale="85" zoomScaleNormal="100" zoomScaleSheetLayoutView="85" workbookViewId="0">
      <selection activeCell="G16" sqref="G16"/>
    </sheetView>
  </sheetViews>
  <sheetFormatPr defaultColWidth="8.88671875" defaultRowHeight="15.75"/>
  <cols>
    <col min="1" max="1" width="7.33203125" style="169" customWidth="1"/>
    <col min="2" max="2" width="57.77734375" style="169" customWidth="1"/>
    <col min="3" max="3" width="28.33203125" style="169" customWidth="1"/>
    <col min="4" max="4" width="10.88671875" style="174" bestFit="1" customWidth="1"/>
    <col min="5" max="5" width="9.33203125" style="169" bestFit="1" customWidth="1"/>
    <col min="6" max="9" width="8.88671875" style="169"/>
    <col min="10" max="16384" width="8.88671875" style="184"/>
  </cols>
  <sheetData>
    <row r="1" spans="1:7">
      <c r="A1" s="168" t="s">
        <v>232</v>
      </c>
      <c r="B1" s="168"/>
      <c r="C1" s="168"/>
      <c r="D1" s="168"/>
    </row>
    <row r="2" spans="1:7">
      <c r="A2" s="170" t="s">
        <v>233</v>
      </c>
      <c r="B2" s="171"/>
      <c r="C2" s="171"/>
      <c r="D2" s="172"/>
    </row>
    <row r="5" spans="1:7">
      <c r="B5" s="173" t="s">
        <v>234</v>
      </c>
      <c r="C5" s="169" t="s">
        <v>235</v>
      </c>
    </row>
    <row r="6" spans="1:7">
      <c r="A6" s="169">
        <v>1</v>
      </c>
      <c r="B6" s="169" t="s">
        <v>236</v>
      </c>
      <c r="C6" s="169" t="s">
        <v>237</v>
      </c>
      <c r="D6" s="175">
        <f>+C46</f>
        <v>0</v>
      </c>
    </row>
    <row r="7" spans="1:7">
      <c r="D7" s="176"/>
    </row>
    <row r="8" spans="1:7">
      <c r="B8" s="173" t="s">
        <v>238</v>
      </c>
      <c r="C8" s="169" t="s">
        <v>235</v>
      </c>
      <c r="G8" s="174"/>
    </row>
    <row r="9" spans="1:7">
      <c r="A9" s="177">
        <f>+A6+1</f>
        <v>2</v>
      </c>
      <c r="B9" s="169" t="s">
        <v>239</v>
      </c>
      <c r="C9" s="169" t="s">
        <v>240</v>
      </c>
      <c r="D9" s="178"/>
      <c r="E9" s="179"/>
      <c r="G9" s="174"/>
    </row>
    <row r="10" spans="1:7">
      <c r="A10" s="177">
        <v>3</v>
      </c>
      <c r="B10" s="169" t="s">
        <v>241</v>
      </c>
      <c r="C10" s="169" t="s">
        <v>240</v>
      </c>
      <c r="D10" s="178">
        <v>0</v>
      </c>
      <c r="G10" s="174"/>
    </row>
    <row r="11" spans="1:7">
      <c r="A11" s="177">
        <v>4</v>
      </c>
      <c r="B11" s="169" t="s">
        <v>242</v>
      </c>
      <c r="C11" s="169" t="s">
        <v>240</v>
      </c>
      <c r="D11" s="178">
        <v>0</v>
      </c>
      <c r="G11" s="175"/>
    </row>
    <row r="12" spans="1:7">
      <c r="A12" s="177">
        <f>+A11+1</f>
        <v>5</v>
      </c>
      <c r="B12" s="169" t="s">
        <v>243</v>
      </c>
      <c r="C12" s="169" t="s">
        <v>240</v>
      </c>
      <c r="D12" s="178">
        <v>0</v>
      </c>
    </row>
    <row r="13" spans="1:7">
      <c r="A13" s="177">
        <f>+A12+1</f>
        <v>6</v>
      </c>
      <c r="B13" s="169" t="s">
        <v>244</v>
      </c>
      <c r="C13" s="169" t="s">
        <v>240</v>
      </c>
      <c r="D13" s="180">
        <v>0</v>
      </c>
    </row>
    <row r="14" spans="1:7">
      <c r="D14" s="181"/>
    </row>
    <row r="15" spans="1:7">
      <c r="A15" s="169">
        <f>+A13+1</f>
        <v>7</v>
      </c>
      <c r="B15" s="169" t="s">
        <v>245</v>
      </c>
      <c r="C15" s="169" t="str">
        <f>"Sum lines "&amp;A9&amp;"-"&amp;A13&amp;" + line "&amp;A6&amp;""</f>
        <v>Sum lines 2-6 + line 1</v>
      </c>
      <c r="D15" s="175">
        <f>SUM(D9:D14)+D6</f>
        <v>0</v>
      </c>
    </row>
    <row r="16" spans="1:7">
      <c r="D16" s="175"/>
    </row>
    <row r="17" spans="1:9">
      <c r="D17" s="182"/>
      <c r="E17" s="183"/>
    </row>
    <row r="18" spans="1:9" s="187" customFormat="1">
      <c r="A18" s="169"/>
      <c r="B18" s="169"/>
      <c r="C18" s="169"/>
      <c r="D18" s="185"/>
      <c r="E18" s="181"/>
      <c r="F18" s="186"/>
      <c r="G18" s="186"/>
      <c r="H18" s="186"/>
      <c r="I18" s="186"/>
    </row>
    <row r="19" spans="1:9" ht="87" customHeight="1">
      <c r="A19" s="177" t="s">
        <v>246</v>
      </c>
      <c r="B19" s="188" t="s">
        <v>247</v>
      </c>
      <c r="C19" s="188"/>
      <c r="D19" s="188"/>
      <c r="E19" s="188"/>
      <c r="F19" s="188"/>
    </row>
    <row r="20" spans="1:9" ht="38.25" customHeight="1">
      <c r="A20" s="177" t="s">
        <v>248</v>
      </c>
      <c r="B20" s="188" t="s">
        <v>249</v>
      </c>
      <c r="C20" s="188"/>
      <c r="D20" s="188"/>
      <c r="E20" s="188"/>
      <c r="F20" s="188"/>
    </row>
    <row r="21" spans="1:9">
      <c r="A21" s="177" t="s">
        <v>240</v>
      </c>
      <c r="B21" s="177" t="s">
        <v>250</v>
      </c>
      <c r="C21" s="177"/>
      <c r="D21" s="189"/>
      <c r="E21" s="177"/>
      <c r="F21" s="177"/>
    </row>
    <row r="22" spans="1:9">
      <c r="A22" s="24"/>
      <c r="B22" s="24"/>
      <c r="C22" s="24"/>
      <c r="D22" s="24"/>
      <c r="E22" s="24"/>
      <c r="F22" s="24"/>
      <c r="G22" s="24"/>
      <c r="H22" s="24"/>
    </row>
    <row r="23" spans="1:9">
      <c r="A23" s="190" t="s">
        <v>251</v>
      </c>
      <c r="B23" s="24"/>
      <c r="C23" s="24"/>
      <c r="D23" s="24"/>
      <c r="E23" s="24"/>
      <c r="F23" s="191"/>
      <c r="G23" s="191"/>
      <c r="H23" s="191"/>
    </row>
    <row r="24" spans="1:9">
      <c r="A24" s="160">
        <v>1</v>
      </c>
      <c r="B24" s="169" t="s">
        <v>252</v>
      </c>
      <c r="C24" s="192" t="s">
        <v>253</v>
      </c>
      <c r="D24" s="192" t="s">
        <v>254</v>
      </c>
      <c r="E24" s="192" t="s">
        <v>255</v>
      </c>
      <c r="F24" s="192" t="s">
        <v>256</v>
      </c>
    </row>
    <row r="25" spans="1:9">
      <c r="A25" s="160" t="s">
        <v>257</v>
      </c>
      <c r="B25" s="193" t="s">
        <v>258</v>
      </c>
      <c r="C25" s="194">
        <f>SUM(D25:F25)</f>
        <v>0</v>
      </c>
      <c r="D25" s="195">
        <v>0</v>
      </c>
      <c r="E25" s="195">
        <v>0</v>
      </c>
      <c r="F25" s="195">
        <v>0</v>
      </c>
    </row>
    <row r="26" spans="1:9">
      <c r="A26" s="160" t="s">
        <v>259</v>
      </c>
      <c r="B26" s="196" t="s">
        <v>260</v>
      </c>
      <c r="C26" s="194"/>
      <c r="D26" s="195"/>
      <c r="E26" s="195"/>
      <c r="F26" s="195"/>
    </row>
    <row r="27" spans="1:9">
      <c r="A27" s="160" t="s">
        <v>261</v>
      </c>
      <c r="B27" s="193" t="s">
        <v>262</v>
      </c>
      <c r="C27" s="194">
        <f>SUM(D27:F27)</f>
        <v>0</v>
      </c>
      <c r="D27" s="195">
        <v>0</v>
      </c>
      <c r="E27" s="195">
        <v>0</v>
      </c>
      <c r="F27" s="195">
        <v>0</v>
      </c>
    </row>
    <row r="28" spans="1:9">
      <c r="A28" s="160">
        <v>2</v>
      </c>
      <c r="B28" s="193" t="s">
        <v>263</v>
      </c>
      <c r="C28" s="197">
        <f>SUM(D28:F28)</f>
        <v>0</v>
      </c>
      <c r="D28" s="195">
        <v>0</v>
      </c>
      <c r="E28" s="195">
        <v>0</v>
      </c>
      <c r="F28" s="195">
        <v>0</v>
      </c>
    </row>
    <row r="29" spans="1:9">
      <c r="A29" s="160">
        <v>3</v>
      </c>
      <c r="B29" s="169" t="s">
        <v>264</v>
      </c>
      <c r="C29" s="198">
        <f>SUM(C25:C28)</f>
        <v>0</v>
      </c>
      <c r="D29" s="198">
        <f>SUM(D25:D28)</f>
        <v>0</v>
      </c>
      <c r="E29" s="198">
        <f>SUM(E25:E28)</f>
        <v>0</v>
      </c>
      <c r="F29" s="198">
        <f>SUM(F25:F28)</f>
        <v>0</v>
      </c>
    </row>
    <row r="30" spans="1:9">
      <c r="A30" s="160">
        <v>4</v>
      </c>
      <c r="B30" s="193" t="s">
        <v>265</v>
      </c>
      <c r="C30" s="193"/>
      <c r="D30" s="193"/>
      <c r="E30" s="193"/>
      <c r="F30" s="193"/>
    </row>
    <row r="31" spans="1:9">
      <c r="A31" s="160">
        <v>5</v>
      </c>
      <c r="B31" s="193" t="s">
        <v>266</v>
      </c>
      <c r="C31" s="199">
        <f>SUM(D31:F31)</f>
        <v>0</v>
      </c>
      <c r="D31" s="200">
        <v>0</v>
      </c>
      <c r="E31" s="200">
        <v>0</v>
      </c>
      <c r="F31" s="200">
        <v>0</v>
      </c>
    </row>
    <row r="32" spans="1:9">
      <c r="A32" s="160">
        <v>6</v>
      </c>
      <c r="B32" s="193" t="s">
        <v>267</v>
      </c>
      <c r="C32" s="201">
        <f>SUM(D32:F32)</f>
        <v>0</v>
      </c>
      <c r="D32" s="200">
        <v>0</v>
      </c>
      <c r="E32" s="200">
        <v>0</v>
      </c>
      <c r="F32" s="200">
        <v>0</v>
      </c>
    </row>
    <row r="33" spans="1:6">
      <c r="A33" s="160">
        <v>7</v>
      </c>
      <c r="B33" s="202" t="s">
        <v>268</v>
      </c>
      <c r="C33" s="201">
        <f>+C29-C31-C32</f>
        <v>0</v>
      </c>
      <c r="D33" s="201">
        <f>+D29-D31-D32</f>
        <v>0</v>
      </c>
      <c r="E33" s="201">
        <f>+E29-E31-E32</f>
        <v>0</v>
      </c>
      <c r="F33" s="201">
        <f>+F29-F31-F32</f>
        <v>0</v>
      </c>
    </row>
    <row r="34" spans="1:6">
      <c r="A34" s="160">
        <v>8</v>
      </c>
      <c r="B34" s="193" t="s">
        <v>269</v>
      </c>
      <c r="C34" s="200">
        <v>0</v>
      </c>
      <c r="D34" s="200">
        <v>0</v>
      </c>
      <c r="E34" s="200">
        <v>0</v>
      </c>
      <c r="F34" s="200">
        <v>0</v>
      </c>
    </row>
    <row r="35" spans="1:6">
      <c r="A35" s="183">
        <v>9</v>
      </c>
      <c r="B35" s="169" t="s">
        <v>270</v>
      </c>
      <c r="C35" s="203">
        <f>SUM(C33:C34)</f>
        <v>0</v>
      </c>
    </row>
    <row r="36" spans="1:6">
      <c r="A36" s="183"/>
    </row>
    <row r="37" spans="1:6">
      <c r="A37" s="183">
        <v>10</v>
      </c>
      <c r="B37" s="169" t="s">
        <v>271</v>
      </c>
      <c r="C37" s="204" t="s">
        <v>157</v>
      </c>
      <c r="D37" s="169"/>
    </row>
    <row r="38" spans="1:6">
      <c r="A38" s="183" t="s">
        <v>272</v>
      </c>
      <c r="B38" s="169" t="s">
        <v>273</v>
      </c>
      <c r="C38" s="178">
        <v>0</v>
      </c>
      <c r="D38" s="169"/>
    </row>
    <row r="39" spans="1:6">
      <c r="A39" s="183" t="s">
        <v>274</v>
      </c>
      <c r="B39" s="169" t="s">
        <v>275</v>
      </c>
      <c r="C39" s="178">
        <v>0</v>
      </c>
      <c r="D39" s="169"/>
    </row>
    <row r="40" spans="1:6">
      <c r="A40" s="183" t="s">
        <v>276</v>
      </c>
      <c r="B40" s="169" t="s">
        <v>277</v>
      </c>
      <c r="C40" s="178">
        <v>0</v>
      </c>
      <c r="D40" s="169"/>
    </row>
    <row r="41" spans="1:6">
      <c r="A41" s="183" t="s">
        <v>278</v>
      </c>
      <c r="B41" s="169" t="s">
        <v>279</v>
      </c>
      <c r="C41" s="178">
        <v>0</v>
      </c>
      <c r="D41" s="169"/>
    </row>
    <row r="42" spans="1:6">
      <c r="A42" s="183" t="s">
        <v>280</v>
      </c>
      <c r="B42" s="169" t="s">
        <v>281</v>
      </c>
      <c r="C42" s="178">
        <v>0</v>
      </c>
      <c r="D42" s="169"/>
    </row>
    <row r="43" spans="1:6">
      <c r="A43" s="183" t="s">
        <v>282</v>
      </c>
      <c r="B43" s="169" t="s">
        <v>283</v>
      </c>
      <c r="C43" s="178">
        <v>0</v>
      </c>
      <c r="D43" s="169"/>
    </row>
    <row r="44" spans="1:6">
      <c r="A44" s="183" t="s">
        <v>284</v>
      </c>
      <c r="B44" s="169" t="s">
        <v>285</v>
      </c>
      <c r="C44" s="178">
        <v>0</v>
      </c>
      <c r="D44" s="169"/>
    </row>
    <row r="45" spans="1:6">
      <c r="A45" s="183" t="s">
        <v>286</v>
      </c>
      <c r="B45" s="205" t="s">
        <v>260</v>
      </c>
      <c r="C45" s="178">
        <v>0</v>
      </c>
      <c r="D45" s="169"/>
    </row>
    <row r="46" spans="1:6">
      <c r="A46" s="183">
        <v>11</v>
      </c>
      <c r="B46" s="169" t="s">
        <v>287</v>
      </c>
      <c r="C46" s="206">
        <f>SUM(C38:C45)</f>
        <v>0</v>
      </c>
      <c r="D46" s="169"/>
    </row>
    <row r="48" spans="1:6" ht="99" customHeight="1">
      <c r="A48" s="177"/>
      <c r="B48" s="152"/>
      <c r="C48" s="152"/>
      <c r="D48" s="152"/>
      <c r="E48" s="152"/>
      <c r="F48" s="152"/>
    </row>
    <row r="123" spans="4:4">
      <c r="D123" s="175"/>
    </row>
    <row r="229" spans="8:8">
      <c r="H229" s="207"/>
    </row>
    <row r="243" ht="99.75" customHeight="1"/>
    <row r="264" ht="40.5" customHeight="1"/>
  </sheetData>
  <mergeCells count="5">
    <mergeCell ref="A1:D1"/>
    <mergeCell ref="A2:C2"/>
    <mergeCell ref="B19:F19"/>
    <mergeCell ref="B20:F20"/>
    <mergeCell ref="B48:F48"/>
  </mergeCells>
  <pageMargins left="0.75" right="0.75" top="1.28" bottom="1" header="0.5" footer="0.5"/>
  <pageSetup scale="53" orientation="portrait" r:id="rId1"/>
  <headerFooter alignWithMargins="0"/>
  <rowBreaks count="1" manualBreakCount="1">
    <brk id="65" max="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6AAD3-586A-4A93-B34D-E114C54082FF}">
  <sheetPr>
    <pageSetUpPr fitToPage="1"/>
  </sheetPr>
  <dimension ref="A1:H21"/>
  <sheetViews>
    <sheetView workbookViewId="0">
      <selection activeCell="G16" sqref="G16"/>
    </sheetView>
  </sheetViews>
  <sheetFormatPr defaultColWidth="8.77734375" defaultRowHeight="16.5"/>
  <cols>
    <col min="1" max="1" width="8.77734375" style="954"/>
    <col min="2" max="2" width="44" style="954" bestFit="1" customWidth="1"/>
    <col min="3" max="3" width="8.77734375" style="954"/>
    <col min="4" max="6" width="15.5546875" style="954" customWidth="1"/>
    <col min="7" max="7" width="13.44140625" style="954" bestFit="1" customWidth="1"/>
    <col min="8" max="8" width="15.5546875" style="954" customWidth="1"/>
    <col min="9" max="16384" width="8.77734375" style="954"/>
  </cols>
  <sheetData>
    <row r="1" spans="1:8">
      <c r="A1" s="952" t="s">
        <v>972</v>
      </c>
      <c r="B1" s="952"/>
      <c r="C1" s="953"/>
      <c r="D1" s="952"/>
      <c r="E1" s="952"/>
      <c r="F1" s="952"/>
      <c r="G1" s="952"/>
      <c r="H1" s="952"/>
    </row>
    <row r="2" spans="1:8">
      <c r="A2" s="953" t="s">
        <v>973</v>
      </c>
      <c r="B2" s="953"/>
      <c r="C2" s="953"/>
      <c r="D2" s="953"/>
      <c r="E2" s="953"/>
      <c r="F2" s="953"/>
      <c r="G2" s="953"/>
      <c r="H2" s="953"/>
    </row>
    <row r="3" spans="1:8">
      <c r="A3" s="953"/>
      <c r="C3" s="953"/>
    </row>
    <row r="4" spans="1:8">
      <c r="A4" s="953"/>
      <c r="C4" s="955" t="s">
        <v>974</v>
      </c>
    </row>
    <row r="5" spans="1:8">
      <c r="C5" s="955"/>
    </row>
    <row r="6" spans="1:8">
      <c r="B6" s="956" t="s">
        <v>174</v>
      </c>
      <c r="D6" s="956" t="s">
        <v>370</v>
      </c>
    </row>
    <row r="7" spans="1:8">
      <c r="A7" s="957"/>
      <c r="D7" s="956" t="s">
        <v>975</v>
      </c>
    </row>
    <row r="8" spans="1:8">
      <c r="D8" s="958">
        <v>2020</v>
      </c>
    </row>
    <row r="9" spans="1:8">
      <c r="D9" s="959"/>
    </row>
    <row r="10" spans="1:8">
      <c r="A10" s="960">
        <v>1</v>
      </c>
      <c r="B10" s="954" t="s">
        <v>976</v>
      </c>
      <c r="C10" s="961"/>
      <c r="D10" s="962">
        <f>SUM(D11:D13)</f>
        <v>-516468</v>
      </c>
    </row>
    <row r="11" spans="1:8">
      <c r="A11" s="960" t="s">
        <v>257</v>
      </c>
      <c r="B11" s="954" t="s">
        <v>977</v>
      </c>
      <c r="C11" s="961"/>
      <c r="D11" s="963">
        <v>-518173</v>
      </c>
    </row>
    <row r="12" spans="1:8">
      <c r="A12" s="960" t="s">
        <v>857</v>
      </c>
      <c r="B12" s="954" t="s">
        <v>978</v>
      </c>
      <c r="C12" s="961"/>
      <c r="D12" s="963">
        <v>1705</v>
      </c>
    </row>
    <row r="13" spans="1:8">
      <c r="A13" s="960" t="s">
        <v>858</v>
      </c>
      <c r="B13" s="964"/>
      <c r="C13" s="961"/>
      <c r="D13" s="963">
        <v>0</v>
      </c>
    </row>
    <row r="14" spans="1:8">
      <c r="A14" s="960"/>
      <c r="C14" s="961"/>
      <c r="D14" s="963"/>
    </row>
    <row r="15" spans="1:8">
      <c r="A15" s="960"/>
      <c r="C15" s="961"/>
      <c r="D15" s="963"/>
    </row>
    <row r="18" spans="1:6">
      <c r="A18" s="953"/>
    </row>
    <row r="19" spans="1:6">
      <c r="A19" s="965"/>
      <c r="B19" s="965"/>
      <c r="C19" s="965"/>
      <c r="D19" s="965"/>
      <c r="E19" s="965"/>
      <c r="F19" s="965"/>
    </row>
    <row r="20" spans="1:6" ht="55.5" customHeight="1">
      <c r="A20" s="966"/>
      <c r="B20" s="967"/>
      <c r="C20" s="967"/>
      <c r="D20" s="967"/>
      <c r="E20" s="967"/>
      <c r="F20" s="967"/>
    </row>
    <row r="21" spans="1:6">
      <c r="A21" s="953"/>
    </row>
  </sheetData>
  <mergeCells count="1">
    <mergeCell ref="B20:F20"/>
  </mergeCells>
  <pageMargins left="0.7" right="0.7"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377DD-B576-4388-B7D9-3AD3F1EBF8D3}">
  <dimension ref="A1:M163"/>
  <sheetViews>
    <sheetView view="pageBreakPreview" topLeftCell="A19" zoomScale="80" zoomScaleNormal="75" zoomScaleSheetLayoutView="80" workbookViewId="0">
      <selection activeCell="G16" sqref="G16"/>
    </sheetView>
  </sheetViews>
  <sheetFormatPr defaultColWidth="8.88671875" defaultRowHeight="15.75"/>
  <cols>
    <col min="1" max="1" width="5" style="183" customWidth="1"/>
    <col min="2" max="2" width="3.33203125" style="169" customWidth="1"/>
    <col min="3" max="3" width="48.33203125" style="169" customWidth="1"/>
    <col min="4" max="4" width="18.6640625" style="169" customWidth="1"/>
    <col min="5" max="5" width="13.6640625" style="169" customWidth="1"/>
    <col min="6" max="6" width="18.109375" style="169" customWidth="1"/>
    <col min="7" max="7" width="15.33203125" style="184" customWidth="1"/>
    <col min="8" max="8" width="11.88671875" style="184" customWidth="1"/>
    <col min="9" max="9" width="13" style="184" customWidth="1"/>
    <col min="10" max="10" width="10.6640625" style="184" customWidth="1"/>
    <col min="11" max="11" width="9" style="184" customWidth="1"/>
    <col min="12" max="13" width="7.5546875" style="184" customWidth="1"/>
    <col min="14" max="16384" width="8.88671875" style="184"/>
  </cols>
  <sheetData>
    <row r="1" spans="1:13" ht="22.5" customHeight="1">
      <c r="A1" s="168" t="s">
        <v>288</v>
      </c>
      <c r="B1" s="168"/>
      <c r="C1" s="168"/>
      <c r="D1" s="168"/>
      <c r="E1" s="168"/>
      <c r="F1" s="168"/>
      <c r="G1" s="208"/>
      <c r="H1" s="208"/>
      <c r="I1" s="208"/>
      <c r="J1" s="208"/>
      <c r="K1" s="208"/>
      <c r="L1" s="208"/>
      <c r="M1" s="208"/>
    </row>
    <row r="2" spans="1:13" ht="18">
      <c r="A2" s="209"/>
      <c r="B2" s="209"/>
      <c r="C2" s="209"/>
      <c r="D2" s="209"/>
      <c r="E2" s="209"/>
      <c r="F2" s="209"/>
      <c r="G2" s="208"/>
      <c r="H2" s="208"/>
      <c r="I2" s="208"/>
      <c r="J2" s="208"/>
      <c r="K2" s="208"/>
      <c r="L2" s="208"/>
      <c r="M2" s="208"/>
    </row>
    <row r="3" spans="1:13" ht="18">
      <c r="A3" s="172"/>
      <c r="B3" s="172"/>
      <c r="C3" s="210" t="s">
        <v>289</v>
      </c>
      <c r="D3" s="15"/>
      <c r="E3" s="172"/>
      <c r="F3" s="172"/>
      <c r="G3" s="208"/>
      <c r="H3" s="208"/>
      <c r="I3" s="208"/>
      <c r="J3" s="208"/>
      <c r="K3" s="208"/>
      <c r="L3" s="208"/>
      <c r="M3" s="208"/>
    </row>
    <row r="4" spans="1:13">
      <c r="C4" s="211" t="s">
        <v>290</v>
      </c>
      <c r="D4" s="171"/>
    </row>
    <row r="5" spans="1:13" ht="16.5" thickBot="1">
      <c r="A5" s="212" t="s">
        <v>291</v>
      </c>
    </row>
    <row r="6" spans="1:13">
      <c r="A6" s="213" t="s">
        <v>292</v>
      </c>
      <c r="B6" s="214"/>
      <c r="C6" s="214"/>
      <c r="D6" s="214"/>
      <c r="E6" s="214"/>
      <c r="F6" s="215"/>
      <c r="G6" s="216"/>
      <c r="H6" s="216"/>
      <c r="I6" s="216"/>
      <c r="J6" s="217"/>
      <c r="K6" s="218"/>
      <c r="L6" s="218"/>
      <c r="M6" s="218"/>
    </row>
    <row r="7" spans="1:13">
      <c r="A7" s="219">
        <v>1</v>
      </c>
      <c r="C7" s="220" t="s">
        <v>293</v>
      </c>
      <c r="D7" s="169" t="s">
        <v>59</v>
      </c>
      <c r="E7" s="183" t="s">
        <v>294</v>
      </c>
      <c r="F7" s="221" t="s">
        <v>295</v>
      </c>
      <c r="G7" s="222"/>
      <c r="J7" s="223"/>
      <c r="K7" s="223"/>
      <c r="L7" s="223"/>
      <c r="M7" s="223"/>
    </row>
    <row r="8" spans="1:13">
      <c r="A8" s="219">
        <f t="shared" ref="A8:A21" si="0">+A7+1</f>
        <v>2</v>
      </c>
      <c r="C8" s="169" t="s">
        <v>296</v>
      </c>
      <c r="D8" s="224" t="s">
        <v>297</v>
      </c>
      <c r="E8" s="225">
        <v>2019</v>
      </c>
      <c r="F8" s="226">
        <v>0</v>
      </c>
      <c r="G8" s="227"/>
      <c r="H8" s="228"/>
      <c r="I8" s="229"/>
      <c r="J8" s="223"/>
      <c r="K8" s="223"/>
      <c r="L8" s="223"/>
      <c r="M8" s="223"/>
    </row>
    <row r="9" spans="1:13">
      <c r="A9" s="219">
        <f t="shared" si="0"/>
        <v>3</v>
      </c>
      <c r="C9" s="230" t="s">
        <v>298</v>
      </c>
      <c r="D9" s="169" t="s">
        <v>299</v>
      </c>
      <c r="E9" s="225">
        <v>2020</v>
      </c>
      <c r="F9" s="226">
        <v>0</v>
      </c>
      <c r="G9" s="231"/>
      <c r="J9" s="223"/>
      <c r="K9" s="223"/>
      <c r="L9" s="223"/>
      <c r="M9" s="223"/>
    </row>
    <row r="10" spans="1:13">
      <c r="A10" s="219">
        <f t="shared" si="0"/>
        <v>4</v>
      </c>
      <c r="B10" s="183"/>
      <c r="C10" s="230" t="s">
        <v>300</v>
      </c>
      <c r="D10" s="169" t="s">
        <v>299</v>
      </c>
      <c r="E10" s="225">
        <v>2020</v>
      </c>
      <c r="F10" s="226">
        <v>47440709.149999999</v>
      </c>
      <c r="G10" s="227"/>
      <c r="H10" s="228"/>
      <c r="I10" s="228"/>
      <c r="J10" s="223"/>
      <c r="K10" s="223"/>
      <c r="L10" s="223"/>
      <c r="M10" s="223"/>
    </row>
    <row r="11" spans="1:13">
      <c r="A11" s="219">
        <f t="shared" si="0"/>
        <v>5</v>
      </c>
      <c r="B11" s="183"/>
      <c r="C11" s="230" t="s">
        <v>301</v>
      </c>
      <c r="D11" s="169" t="s">
        <v>299</v>
      </c>
      <c r="E11" s="225">
        <v>2020</v>
      </c>
      <c r="F11" s="226">
        <v>47350118</v>
      </c>
      <c r="G11" s="227"/>
      <c r="H11" s="228"/>
      <c r="I11" s="228"/>
      <c r="J11" s="223"/>
      <c r="K11" s="223"/>
      <c r="L11" s="223"/>
      <c r="M11" s="223"/>
    </row>
    <row r="12" spans="1:13">
      <c r="A12" s="219">
        <f t="shared" si="0"/>
        <v>6</v>
      </c>
      <c r="C12" s="230" t="s">
        <v>302</v>
      </c>
      <c r="D12" s="169" t="s">
        <v>299</v>
      </c>
      <c r="E12" s="225">
        <v>2020</v>
      </c>
      <c r="F12" s="226">
        <v>47524852.259999998</v>
      </c>
      <c r="G12" s="227"/>
      <c r="H12" s="228"/>
      <c r="I12" s="228"/>
      <c r="J12" s="223"/>
      <c r="K12" s="223"/>
      <c r="L12" s="223"/>
      <c r="M12" s="223"/>
    </row>
    <row r="13" spans="1:13">
      <c r="A13" s="219">
        <f t="shared" si="0"/>
        <v>7</v>
      </c>
      <c r="C13" s="230" t="s">
        <v>303</v>
      </c>
      <c r="D13" s="169" t="s">
        <v>299</v>
      </c>
      <c r="E13" s="225">
        <v>2020</v>
      </c>
      <c r="F13" s="226">
        <v>47794387.32</v>
      </c>
    </row>
    <row r="14" spans="1:13">
      <c r="A14" s="219">
        <f t="shared" si="0"/>
        <v>8</v>
      </c>
      <c r="C14" s="230" t="s">
        <v>304</v>
      </c>
      <c r="D14" s="169" t="s">
        <v>299</v>
      </c>
      <c r="E14" s="225">
        <v>2020</v>
      </c>
      <c r="F14" s="226">
        <v>48486614.350000001</v>
      </c>
      <c r="G14" s="227"/>
      <c r="H14" s="228"/>
      <c r="I14" s="229"/>
      <c r="J14" s="223"/>
      <c r="K14" s="223"/>
      <c r="L14" s="223"/>
      <c r="M14" s="223"/>
    </row>
    <row r="15" spans="1:13">
      <c r="A15" s="219">
        <f t="shared" si="0"/>
        <v>9</v>
      </c>
      <c r="C15" s="230" t="s">
        <v>305</v>
      </c>
      <c r="D15" s="169" t="s">
        <v>299</v>
      </c>
      <c r="E15" s="225">
        <v>2020</v>
      </c>
      <c r="F15" s="226">
        <v>48453897.230000004</v>
      </c>
      <c r="G15" s="231"/>
      <c r="J15" s="223"/>
      <c r="K15" s="223"/>
      <c r="L15" s="223"/>
      <c r="M15" s="223"/>
    </row>
    <row r="16" spans="1:13">
      <c r="A16" s="219">
        <f t="shared" si="0"/>
        <v>10</v>
      </c>
      <c r="B16" s="183"/>
      <c r="C16" s="230" t="s">
        <v>306</v>
      </c>
      <c r="D16" s="169" t="s">
        <v>299</v>
      </c>
      <c r="E16" s="225">
        <v>2020</v>
      </c>
      <c r="F16" s="226">
        <v>48278646.600000001</v>
      </c>
      <c r="G16" s="227"/>
      <c r="H16" s="228"/>
      <c r="I16" s="228"/>
      <c r="J16" s="223"/>
      <c r="K16" s="223"/>
      <c r="L16" s="223"/>
      <c r="M16" s="223"/>
    </row>
    <row r="17" spans="1:13">
      <c r="A17" s="219">
        <f t="shared" si="0"/>
        <v>11</v>
      </c>
      <c r="B17" s="183"/>
      <c r="C17" s="230" t="s">
        <v>307</v>
      </c>
      <c r="D17" s="169" t="s">
        <v>299</v>
      </c>
      <c r="E17" s="225">
        <v>2020</v>
      </c>
      <c r="F17" s="226">
        <v>48504940.840000004</v>
      </c>
      <c r="G17" s="227"/>
      <c r="H17" s="228"/>
      <c r="I17" s="228"/>
      <c r="J17" s="223"/>
      <c r="K17" s="223"/>
      <c r="L17" s="223"/>
      <c r="M17" s="223"/>
    </row>
    <row r="18" spans="1:13">
      <c r="A18" s="219">
        <f t="shared" si="0"/>
        <v>12</v>
      </c>
      <c r="C18" s="230" t="s">
        <v>308</v>
      </c>
      <c r="D18" s="169" t="s">
        <v>299</v>
      </c>
      <c r="E18" s="225">
        <v>2020</v>
      </c>
      <c r="F18" s="226">
        <v>48549676.719999999</v>
      </c>
      <c r="G18" s="227"/>
      <c r="H18" s="228"/>
      <c r="I18" s="228"/>
      <c r="J18" s="223"/>
      <c r="K18" s="223"/>
      <c r="L18" s="223"/>
      <c r="M18" s="223"/>
    </row>
    <row r="19" spans="1:13">
      <c r="A19" s="219">
        <f t="shared" si="0"/>
        <v>13</v>
      </c>
      <c r="C19" s="230" t="s">
        <v>309</v>
      </c>
      <c r="D19" s="169" t="s">
        <v>299</v>
      </c>
      <c r="E19" s="225">
        <v>2020</v>
      </c>
      <c r="F19" s="226">
        <v>51390756.960000008</v>
      </c>
      <c r="G19" s="227"/>
      <c r="H19" s="228"/>
      <c r="I19" s="228"/>
      <c r="J19" s="223"/>
      <c r="K19" s="223"/>
      <c r="L19" s="223"/>
      <c r="M19" s="223"/>
    </row>
    <row r="20" spans="1:13">
      <c r="A20" s="219">
        <f t="shared" si="0"/>
        <v>14</v>
      </c>
      <c r="C20" s="232" t="s">
        <v>296</v>
      </c>
      <c r="D20" s="233" t="s">
        <v>310</v>
      </c>
      <c r="E20" s="234">
        <v>2020</v>
      </c>
      <c r="F20" s="235">
        <v>52059784</v>
      </c>
      <c r="G20" s="236"/>
      <c r="H20" s="236"/>
    </row>
    <row r="21" spans="1:13">
      <c r="A21" s="219">
        <f t="shared" si="0"/>
        <v>15</v>
      </c>
      <c r="C21" s="237" t="s">
        <v>311</v>
      </c>
      <c r="D21" s="169" t="str">
        <f>"(sum lines "&amp;A8&amp;"-"&amp;A20&amp;") /13"</f>
        <v>(sum lines 2-14) /13</v>
      </c>
      <c r="E21" s="238"/>
      <c r="F21" s="239">
        <f>SUM(F8:F20)/13</f>
        <v>41218029.494615391</v>
      </c>
      <c r="G21" s="240"/>
      <c r="J21" s="223"/>
      <c r="K21" s="223"/>
      <c r="L21" s="223"/>
      <c r="M21" s="223"/>
    </row>
    <row r="22" spans="1:13">
      <c r="A22" s="219"/>
      <c r="B22" s="183"/>
      <c r="C22" s="230"/>
      <c r="E22" s="241"/>
      <c r="F22" s="242"/>
      <c r="G22" s="227"/>
      <c r="H22" s="228"/>
      <c r="I22" s="228"/>
      <c r="J22" s="223"/>
      <c r="K22" s="223"/>
      <c r="L22" s="223"/>
      <c r="M22" s="223"/>
    </row>
    <row r="23" spans="1:13">
      <c r="A23" s="219">
        <f>+A21+1</f>
        <v>16</v>
      </c>
      <c r="C23" s="220" t="s">
        <v>312</v>
      </c>
      <c r="D23" s="169" t="s">
        <v>59</v>
      </c>
      <c r="E23" s="243"/>
      <c r="F23" s="244"/>
      <c r="J23" s="223"/>
      <c r="K23" s="223"/>
      <c r="L23" s="223"/>
      <c r="M23" s="223"/>
    </row>
    <row r="24" spans="1:13">
      <c r="A24" s="219">
        <f>+A23+1</f>
        <v>17</v>
      </c>
      <c r="C24" s="169" t="s">
        <v>296</v>
      </c>
      <c r="D24" s="224" t="s">
        <v>313</v>
      </c>
      <c r="E24" s="225">
        <f>+$E$8</f>
        <v>2019</v>
      </c>
      <c r="F24" s="226">
        <v>0</v>
      </c>
      <c r="G24" s="227"/>
      <c r="J24" s="223"/>
      <c r="K24" s="223"/>
      <c r="L24" s="223"/>
      <c r="M24" s="223"/>
    </row>
    <row r="25" spans="1:13">
      <c r="A25" s="219">
        <f t="shared" ref="A25:A36" si="1">+A24+1</f>
        <v>18</v>
      </c>
      <c r="C25" s="230" t="s">
        <v>298</v>
      </c>
      <c r="D25" s="169" t="s">
        <v>299</v>
      </c>
      <c r="E25" s="225">
        <f>+$E$9</f>
        <v>2020</v>
      </c>
      <c r="F25" s="226">
        <v>0</v>
      </c>
      <c r="G25" s="227"/>
      <c r="J25" s="223"/>
      <c r="K25" s="223"/>
      <c r="L25" s="223"/>
      <c r="M25" s="223"/>
    </row>
    <row r="26" spans="1:13">
      <c r="A26" s="219">
        <f t="shared" si="1"/>
        <v>19</v>
      </c>
      <c r="C26" s="230" t="s">
        <v>300</v>
      </c>
      <c r="D26" s="169" t="s">
        <v>299</v>
      </c>
      <c r="E26" s="225">
        <f t="shared" ref="E26:E36" si="2">+$E$9</f>
        <v>2020</v>
      </c>
      <c r="F26" s="226">
        <v>0</v>
      </c>
      <c r="G26" s="227"/>
      <c r="J26" s="223"/>
      <c r="K26" s="223"/>
      <c r="L26" s="223"/>
      <c r="M26" s="223"/>
    </row>
    <row r="27" spans="1:13">
      <c r="A27" s="219">
        <f t="shared" si="1"/>
        <v>20</v>
      </c>
      <c r="C27" s="230" t="s">
        <v>301</v>
      </c>
      <c r="D27" s="169" t="s">
        <v>299</v>
      </c>
      <c r="E27" s="225">
        <f t="shared" si="2"/>
        <v>2020</v>
      </c>
      <c r="F27" s="226">
        <v>0</v>
      </c>
      <c r="G27" s="227"/>
      <c r="J27" s="223"/>
      <c r="K27" s="223"/>
      <c r="L27" s="223"/>
      <c r="M27" s="223"/>
    </row>
    <row r="28" spans="1:13">
      <c r="A28" s="219">
        <f t="shared" si="1"/>
        <v>21</v>
      </c>
      <c r="C28" s="230" t="s">
        <v>302</v>
      </c>
      <c r="D28" s="169" t="s">
        <v>299</v>
      </c>
      <c r="E28" s="225">
        <f t="shared" si="2"/>
        <v>2020</v>
      </c>
      <c r="F28" s="226">
        <v>0</v>
      </c>
      <c r="G28" s="227"/>
      <c r="J28" s="223"/>
      <c r="K28" s="223"/>
      <c r="L28" s="223"/>
      <c r="M28" s="223"/>
    </row>
    <row r="29" spans="1:13">
      <c r="A29" s="219">
        <f t="shared" si="1"/>
        <v>22</v>
      </c>
      <c r="C29" s="230" t="s">
        <v>303</v>
      </c>
      <c r="D29" s="169" t="s">
        <v>299</v>
      </c>
      <c r="E29" s="225">
        <f t="shared" si="2"/>
        <v>2020</v>
      </c>
      <c r="F29" s="226">
        <v>0</v>
      </c>
      <c r="G29" s="227"/>
      <c r="J29" s="223"/>
      <c r="K29" s="223"/>
      <c r="L29" s="223"/>
      <c r="M29" s="223"/>
    </row>
    <row r="30" spans="1:13">
      <c r="A30" s="219">
        <f t="shared" si="1"/>
        <v>23</v>
      </c>
      <c r="C30" s="230" t="s">
        <v>304</v>
      </c>
      <c r="D30" s="169" t="s">
        <v>299</v>
      </c>
      <c r="E30" s="225">
        <f t="shared" si="2"/>
        <v>2020</v>
      </c>
      <c r="F30" s="226">
        <v>0</v>
      </c>
      <c r="G30" s="227"/>
      <c r="J30" s="223"/>
      <c r="K30" s="223"/>
      <c r="L30" s="223"/>
      <c r="M30" s="223"/>
    </row>
    <row r="31" spans="1:13">
      <c r="A31" s="219">
        <f t="shared" si="1"/>
        <v>24</v>
      </c>
      <c r="C31" s="230" t="s">
        <v>305</v>
      </c>
      <c r="D31" s="169" t="s">
        <v>299</v>
      </c>
      <c r="E31" s="225">
        <f t="shared" si="2"/>
        <v>2020</v>
      </c>
      <c r="F31" s="226">
        <v>0</v>
      </c>
      <c r="G31" s="227"/>
      <c r="J31" s="223"/>
      <c r="K31" s="223"/>
      <c r="L31" s="223"/>
      <c r="M31" s="223"/>
    </row>
    <row r="32" spans="1:13">
      <c r="A32" s="219">
        <f t="shared" si="1"/>
        <v>25</v>
      </c>
      <c r="C32" s="230" t="s">
        <v>306</v>
      </c>
      <c r="D32" s="169" t="s">
        <v>299</v>
      </c>
      <c r="E32" s="225">
        <f t="shared" si="2"/>
        <v>2020</v>
      </c>
      <c r="F32" s="226">
        <v>0</v>
      </c>
      <c r="G32" s="227"/>
      <c r="J32" s="223"/>
      <c r="K32" s="223"/>
      <c r="L32" s="223"/>
      <c r="M32" s="223"/>
    </row>
    <row r="33" spans="1:13">
      <c r="A33" s="219">
        <f t="shared" si="1"/>
        <v>26</v>
      </c>
      <c r="C33" s="230" t="s">
        <v>307</v>
      </c>
      <c r="D33" s="169" t="s">
        <v>299</v>
      </c>
      <c r="E33" s="225">
        <f t="shared" si="2"/>
        <v>2020</v>
      </c>
      <c r="F33" s="226">
        <v>0</v>
      </c>
      <c r="G33" s="227"/>
      <c r="J33" s="223"/>
      <c r="K33" s="223"/>
      <c r="L33" s="223"/>
      <c r="M33" s="223"/>
    </row>
    <row r="34" spans="1:13">
      <c r="A34" s="219">
        <f t="shared" si="1"/>
        <v>27</v>
      </c>
      <c r="C34" s="230" t="s">
        <v>314</v>
      </c>
      <c r="D34" s="169" t="s">
        <v>299</v>
      </c>
      <c r="E34" s="225">
        <f t="shared" si="2"/>
        <v>2020</v>
      </c>
      <c r="F34" s="226">
        <v>0</v>
      </c>
      <c r="G34" s="227"/>
      <c r="J34" s="223"/>
      <c r="K34" s="223"/>
      <c r="L34" s="223"/>
      <c r="M34" s="223"/>
    </row>
    <row r="35" spans="1:13">
      <c r="A35" s="219">
        <f t="shared" si="1"/>
        <v>28</v>
      </c>
      <c r="C35" s="230" t="s">
        <v>309</v>
      </c>
      <c r="D35" s="169" t="s">
        <v>299</v>
      </c>
      <c r="E35" s="225">
        <f t="shared" si="2"/>
        <v>2020</v>
      </c>
      <c r="F35" s="226">
        <v>0</v>
      </c>
      <c r="G35" s="227"/>
      <c r="J35" s="223"/>
      <c r="K35" s="223"/>
      <c r="L35" s="223"/>
      <c r="M35" s="223"/>
    </row>
    <row r="36" spans="1:13">
      <c r="A36" s="219">
        <f t="shared" si="1"/>
        <v>29</v>
      </c>
      <c r="C36" s="232" t="s">
        <v>296</v>
      </c>
      <c r="D36" s="233" t="s">
        <v>315</v>
      </c>
      <c r="E36" s="234">
        <f t="shared" si="2"/>
        <v>2020</v>
      </c>
      <c r="F36" s="235">
        <v>0</v>
      </c>
      <c r="G36" s="236"/>
      <c r="H36" s="228"/>
    </row>
    <row r="37" spans="1:13">
      <c r="A37" s="219">
        <f>+A36+1</f>
        <v>30</v>
      </c>
      <c r="C37" s="237" t="s">
        <v>316</v>
      </c>
      <c r="D37" s="169" t="str">
        <f>"(sum lines "&amp;A24&amp;" - "&amp;A36&amp;") /13"</f>
        <v>(sum lines 17 - 29) /13</v>
      </c>
      <c r="E37" s="241"/>
      <c r="F37" s="239">
        <f>SUM(F24:F36)/13</f>
        <v>0</v>
      </c>
      <c r="G37" s="240"/>
      <c r="I37" s="245"/>
      <c r="J37" s="223"/>
      <c r="K37" s="223"/>
      <c r="L37" s="223"/>
      <c r="M37" s="223"/>
    </row>
    <row r="38" spans="1:13">
      <c r="A38" s="219"/>
      <c r="C38" s="230"/>
      <c r="E38" s="246"/>
      <c r="F38" s="242"/>
      <c r="G38" s="227"/>
      <c r="H38" s="228"/>
      <c r="I38" s="228"/>
      <c r="J38" s="223"/>
      <c r="K38" s="223"/>
      <c r="L38" s="223"/>
      <c r="M38" s="223"/>
    </row>
    <row r="39" spans="1:13">
      <c r="A39" s="219">
        <f>+A37+1</f>
        <v>31</v>
      </c>
      <c r="C39" s="220" t="s">
        <v>317</v>
      </c>
      <c r="D39" s="169" t="s">
        <v>59</v>
      </c>
      <c r="E39" s="243"/>
      <c r="F39" s="244"/>
      <c r="J39" s="223"/>
      <c r="K39" s="223"/>
      <c r="L39" s="223"/>
      <c r="M39" s="223"/>
    </row>
    <row r="40" spans="1:13">
      <c r="A40" s="219">
        <f>+A39+1</f>
        <v>32</v>
      </c>
      <c r="C40" s="169" t="s">
        <v>296</v>
      </c>
      <c r="D40" s="224" t="s">
        <v>318</v>
      </c>
      <c r="E40" s="225">
        <f>+$E$8</f>
        <v>2019</v>
      </c>
      <c r="F40" s="226">
        <v>0</v>
      </c>
      <c r="G40" s="227"/>
      <c r="H40" s="228"/>
      <c r="I40" s="229"/>
      <c r="J40" s="223"/>
      <c r="K40" s="223"/>
      <c r="L40" s="223"/>
      <c r="M40" s="223"/>
    </row>
    <row r="41" spans="1:13">
      <c r="A41" s="219">
        <f t="shared" ref="A41:A51" si="3">+A40+1</f>
        <v>33</v>
      </c>
      <c r="C41" s="230" t="s">
        <v>298</v>
      </c>
      <c r="D41" s="169" t="s">
        <v>299</v>
      </c>
      <c r="E41" s="225">
        <f>+$E$9</f>
        <v>2020</v>
      </c>
      <c r="F41" s="226">
        <v>0</v>
      </c>
      <c r="G41" s="227"/>
      <c r="H41" s="228"/>
      <c r="I41" s="229"/>
      <c r="J41" s="223"/>
      <c r="K41" s="223"/>
      <c r="L41" s="223"/>
      <c r="M41" s="223"/>
    </row>
    <row r="42" spans="1:13">
      <c r="A42" s="219">
        <f t="shared" si="3"/>
        <v>34</v>
      </c>
      <c r="C42" s="230" t="s">
        <v>300</v>
      </c>
      <c r="D42" s="169" t="s">
        <v>299</v>
      </c>
      <c r="E42" s="225">
        <f t="shared" ref="E42:E52" si="4">+$E$9</f>
        <v>2020</v>
      </c>
      <c r="F42" s="226">
        <v>0</v>
      </c>
      <c r="G42" s="227"/>
      <c r="H42" s="228"/>
      <c r="I42" s="229"/>
      <c r="J42" s="223"/>
      <c r="K42" s="223"/>
      <c r="L42" s="223"/>
      <c r="M42" s="223"/>
    </row>
    <row r="43" spans="1:13">
      <c r="A43" s="219">
        <f t="shared" si="3"/>
        <v>35</v>
      </c>
      <c r="C43" s="230" t="s">
        <v>301</v>
      </c>
      <c r="D43" s="169" t="s">
        <v>299</v>
      </c>
      <c r="E43" s="225">
        <f t="shared" si="4"/>
        <v>2020</v>
      </c>
      <c r="F43" s="226">
        <v>0</v>
      </c>
      <c r="G43" s="227"/>
      <c r="H43" s="228"/>
      <c r="I43" s="229"/>
      <c r="J43" s="223"/>
      <c r="K43" s="223"/>
      <c r="L43" s="223"/>
      <c r="M43" s="223"/>
    </row>
    <row r="44" spans="1:13">
      <c r="A44" s="219">
        <f t="shared" si="3"/>
        <v>36</v>
      </c>
      <c r="C44" s="230" t="s">
        <v>302</v>
      </c>
      <c r="D44" s="169" t="s">
        <v>299</v>
      </c>
      <c r="E44" s="225">
        <f t="shared" si="4"/>
        <v>2020</v>
      </c>
      <c r="F44" s="226">
        <v>0</v>
      </c>
      <c r="G44" s="227"/>
      <c r="H44" s="228"/>
      <c r="I44" s="229"/>
      <c r="J44" s="223"/>
      <c r="K44" s="223"/>
      <c r="L44" s="223"/>
      <c r="M44" s="223"/>
    </row>
    <row r="45" spans="1:13">
      <c r="A45" s="219">
        <f t="shared" si="3"/>
        <v>37</v>
      </c>
      <c r="C45" s="230" t="s">
        <v>303</v>
      </c>
      <c r="D45" s="169" t="s">
        <v>299</v>
      </c>
      <c r="E45" s="225">
        <f t="shared" si="4"/>
        <v>2020</v>
      </c>
      <c r="F45" s="226">
        <v>0</v>
      </c>
      <c r="G45" s="227"/>
      <c r="H45" s="228"/>
      <c r="I45" s="229"/>
      <c r="J45" s="223"/>
      <c r="K45" s="223"/>
      <c r="L45" s="223"/>
      <c r="M45" s="223"/>
    </row>
    <row r="46" spans="1:13">
      <c r="A46" s="219">
        <f t="shared" si="3"/>
        <v>38</v>
      </c>
      <c r="C46" s="230" t="s">
        <v>304</v>
      </c>
      <c r="D46" s="169" t="s">
        <v>299</v>
      </c>
      <c r="E46" s="225">
        <f t="shared" si="4"/>
        <v>2020</v>
      </c>
      <c r="F46" s="226">
        <v>403814.72</v>
      </c>
      <c r="G46" s="227"/>
      <c r="H46" s="228"/>
      <c r="I46" s="229"/>
      <c r="J46" s="223"/>
      <c r="K46" s="223"/>
      <c r="L46" s="223"/>
      <c r="M46" s="223"/>
    </row>
    <row r="47" spans="1:13">
      <c r="A47" s="219">
        <f t="shared" si="3"/>
        <v>39</v>
      </c>
      <c r="C47" s="230" t="s">
        <v>305</v>
      </c>
      <c r="D47" s="169" t="s">
        <v>299</v>
      </c>
      <c r="E47" s="225">
        <f t="shared" si="4"/>
        <v>2020</v>
      </c>
      <c r="F47" s="226">
        <v>499210.57</v>
      </c>
      <c r="G47" s="227"/>
      <c r="H47" s="228"/>
      <c r="I47" s="229"/>
      <c r="J47" s="223"/>
      <c r="K47" s="223"/>
      <c r="L47" s="223"/>
      <c r="M47" s="223"/>
    </row>
    <row r="48" spans="1:13">
      <c r="A48" s="219">
        <f t="shared" si="3"/>
        <v>40</v>
      </c>
      <c r="C48" s="230" t="s">
        <v>306</v>
      </c>
      <c r="D48" s="169" t="s">
        <v>299</v>
      </c>
      <c r="E48" s="225">
        <f t="shared" si="4"/>
        <v>2020</v>
      </c>
      <c r="F48" s="226">
        <v>403814.72</v>
      </c>
      <c r="G48" s="227"/>
      <c r="H48" s="228"/>
      <c r="I48" s="229"/>
      <c r="J48" s="223"/>
      <c r="K48" s="223"/>
      <c r="L48" s="223"/>
      <c r="M48" s="223"/>
    </row>
    <row r="49" spans="1:13">
      <c r="A49" s="219">
        <f t="shared" si="3"/>
        <v>41</v>
      </c>
      <c r="C49" s="230" t="s">
        <v>307</v>
      </c>
      <c r="D49" s="169" t="s">
        <v>299</v>
      </c>
      <c r="E49" s="225">
        <f t="shared" si="4"/>
        <v>2020</v>
      </c>
      <c r="F49" s="226">
        <v>403814.72</v>
      </c>
      <c r="G49" s="227"/>
      <c r="H49" s="228"/>
      <c r="I49" s="229"/>
      <c r="J49" s="223"/>
      <c r="K49" s="223"/>
      <c r="L49" s="223"/>
      <c r="M49" s="223"/>
    </row>
    <row r="50" spans="1:13">
      <c r="A50" s="219">
        <f t="shared" si="3"/>
        <v>42</v>
      </c>
      <c r="C50" s="230" t="s">
        <v>314</v>
      </c>
      <c r="D50" s="169" t="s">
        <v>299</v>
      </c>
      <c r="E50" s="225">
        <f t="shared" si="4"/>
        <v>2020</v>
      </c>
      <c r="F50" s="226">
        <v>410804.5</v>
      </c>
      <c r="G50" s="227"/>
      <c r="H50" s="228"/>
      <c r="I50" s="229"/>
      <c r="J50" s="223"/>
      <c r="K50" s="223"/>
      <c r="L50" s="223"/>
      <c r="M50" s="223"/>
    </row>
    <row r="51" spans="1:13">
      <c r="A51" s="219">
        <f t="shared" si="3"/>
        <v>43</v>
      </c>
      <c r="C51" s="230" t="s">
        <v>309</v>
      </c>
      <c r="D51" s="169" t="s">
        <v>299</v>
      </c>
      <c r="E51" s="225">
        <f t="shared" si="4"/>
        <v>2020</v>
      </c>
      <c r="F51" s="226">
        <v>410804.5</v>
      </c>
      <c r="G51" s="227"/>
      <c r="H51" s="228"/>
      <c r="I51" s="229"/>
      <c r="J51" s="223"/>
      <c r="K51" s="223"/>
      <c r="L51" s="223"/>
      <c r="M51" s="223"/>
    </row>
    <row r="52" spans="1:13">
      <c r="A52" s="219">
        <f>+A51+1</f>
        <v>44</v>
      </c>
      <c r="C52" s="232" t="s">
        <v>296</v>
      </c>
      <c r="D52" s="233" t="s">
        <v>319</v>
      </c>
      <c r="E52" s="234">
        <f t="shared" si="4"/>
        <v>2020</v>
      </c>
      <c r="F52" s="235">
        <v>404963</v>
      </c>
      <c r="G52" s="236"/>
      <c r="H52" s="236"/>
    </row>
    <row r="53" spans="1:13">
      <c r="A53" s="219">
        <f>+A52+1</f>
        <v>45</v>
      </c>
      <c r="C53" s="237" t="s">
        <v>320</v>
      </c>
      <c r="D53" s="169" t="str">
        <f>"(sum lines "&amp;A40&amp;" - "&amp;A52&amp;") /13"</f>
        <v>(sum lines 32 - 44) /13</v>
      </c>
      <c r="E53" s="241"/>
      <c r="F53" s="239">
        <f>SUM(F40:F52)/13</f>
        <v>225940.51769230768</v>
      </c>
      <c r="G53" s="240"/>
      <c r="I53" s="245"/>
      <c r="J53" s="223"/>
      <c r="K53" s="223"/>
      <c r="L53" s="223"/>
      <c r="M53" s="223"/>
    </row>
    <row r="54" spans="1:13">
      <c r="A54" s="219"/>
      <c r="C54" s="230"/>
      <c r="E54" s="247"/>
      <c r="F54" s="242"/>
      <c r="G54" s="227"/>
      <c r="H54" s="228"/>
      <c r="I54" s="229"/>
      <c r="J54" s="223"/>
      <c r="K54" s="223"/>
      <c r="L54" s="223"/>
      <c r="M54" s="223"/>
    </row>
    <row r="55" spans="1:13">
      <c r="A55" s="219">
        <f>+A53+1</f>
        <v>46</v>
      </c>
      <c r="C55" s="220" t="s">
        <v>321</v>
      </c>
      <c r="D55" s="224" t="str">
        <f>"(sum lines "&amp;A21&amp;", "&amp;A37&amp;", and "&amp;A53&amp;")"</f>
        <v>(sum lines 15, 30, and 45)</v>
      </c>
      <c r="E55" s="238"/>
      <c r="F55" s="248">
        <f>F21+F37+F53</f>
        <v>41443970.012307696</v>
      </c>
      <c r="G55" s="249"/>
      <c r="H55" s="245"/>
      <c r="I55" s="245"/>
    </row>
    <row r="56" spans="1:13" ht="16.5" thickBot="1">
      <c r="A56" s="250"/>
      <c r="B56" s="251"/>
      <c r="C56" s="252"/>
      <c r="D56" s="253"/>
      <c r="E56" s="254"/>
      <c r="F56" s="255"/>
      <c r="G56" s="249"/>
      <c r="H56" s="228"/>
      <c r="I56" s="228"/>
      <c r="J56" s="223"/>
      <c r="K56" s="223"/>
      <c r="L56" s="223"/>
      <c r="M56" s="223"/>
    </row>
    <row r="57" spans="1:13">
      <c r="A57" s="219"/>
      <c r="B57" s="183"/>
      <c r="C57" s="230"/>
      <c r="E57" s="247"/>
      <c r="F57" s="242"/>
      <c r="G57" s="227"/>
      <c r="H57" s="228"/>
      <c r="I57" s="228"/>
      <c r="J57" s="223"/>
      <c r="K57" s="223"/>
      <c r="L57" s="223"/>
      <c r="M57" s="223"/>
    </row>
    <row r="58" spans="1:13" ht="16.5" thickBot="1">
      <c r="A58" s="256" t="s">
        <v>322</v>
      </c>
      <c r="F58" s="244"/>
    </row>
    <row r="59" spans="1:13">
      <c r="A59" s="213" t="s">
        <v>323</v>
      </c>
      <c r="B59" s="214"/>
      <c r="C59" s="214"/>
      <c r="D59" s="214"/>
      <c r="E59" s="214"/>
      <c r="F59" s="215"/>
      <c r="G59" s="216"/>
      <c r="H59" s="216"/>
      <c r="I59" s="216"/>
      <c r="J59" s="217"/>
      <c r="K59" s="218"/>
      <c r="L59" s="218"/>
      <c r="M59" s="218"/>
    </row>
    <row r="60" spans="1:13">
      <c r="A60" s="219">
        <f>+A55+1</f>
        <v>47</v>
      </c>
      <c r="C60" s="220" t="s">
        <v>324</v>
      </c>
      <c r="D60" s="169" t="s">
        <v>59</v>
      </c>
      <c r="E60" s="183" t="s">
        <v>294</v>
      </c>
      <c r="F60" s="221" t="s">
        <v>295</v>
      </c>
      <c r="G60" s="222"/>
      <c r="J60" s="223"/>
      <c r="K60" s="223"/>
      <c r="L60" s="223"/>
      <c r="M60" s="223"/>
    </row>
    <row r="61" spans="1:13">
      <c r="A61" s="219">
        <f t="shared" ref="A61:A74" si="5">+A60+1</f>
        <v>48</v>
      </c>
      <c r="C61" s="169" t="s">
        <v>296</v>
      </c>
      <c r="D61" s="224" t="s">
        <v>325</v>
      </c>
      <c r="E61" s="225">
        <f>+$E$8</f>
        <v>2019</v>
      </c>
      <c r="F61" s="226">
        <v>0</v>
      </c>
      <c r="G61" s="227"/>
      <c r="H61" s="228"/>
      <c r="I61" s="229"/>
      <c r="J61" s="223"/>
      <c r="K61" s="223"/>
      <c r="L61" s="223"/>
      <c r="M61" s="223"/>
    </row>
    <row r="62" spans="1:13">
      <c r="A62" s="219">
        <f t="shared" si="5"/>
        <v>49</v>
      </c>
      <c r="C62" s="230" t="s">
        <v>298</v>
      </c>
      <c r="D62" s="169" t="s">
        <v>299</v>
      </c>
      <c r="E62" s="225">
        <f>+$E$9</f>
        <v>2020</v>
      </c>
      <c r="F62" s="226">
        <v>0</v>
      </c>
      <c r="G62" s="231"/>
      <c r="J62" s="223"/>
      <c r="K62" s="223"/>
      <c r="L62" s="223"/>
      <c r="M62" s="223"/>
    </row>
    <row r="63" spans="1:13">
      <c r="A63" s="219">
        <f t="shared" si="5"/>
        <v>50</v>
      </c>
      <c r="B63" s="183"/>
      <c r="C63" s="230" t="s">
        <v>300</v>
      </c>
      <c r="D63" s="169" t="s">
        <v>299</v>
      </c>
      <c r="E63" s="225">
        <f t="shared" ref="E63:E73" si="6">+$E$9</f>
        <v>2020</v>
      </c>
      <c r="F63" s="226">
        <v>52614.93</v>
      </c>
      <c r="G63" s="227"/>
      <c r="H63" s="228"/>
      <c r="I63" s="228"/>
      <c r="J63" s="223"/>
      <c r="K63" s="223"/>
      <c r="L63" s="223"/>
      <c r="M63" s="223"/>
    </row>
    <row r="64" spans="1:13">
      <c r="A64" s="219">
        <f t="shared" si="5"/>
        <v>51</v>
      </c>
      <c r="B64" s="183"/>
      <c r="C64" s="230" t="s">
        <v>301</v>
      </c>
      <c r="D64" s="169" t="s">
        <v>299</v>
      </c>
      <c r="E64" s="225">
        <f t="shared" si="6"/>
        <v>2020</v>
      </c>
      <c r="F64" s="226">
        <v>157934.5</v>
      </c>
      <c r="G64" s="227"/>
      <c r="H64" s="228"/>
      <c r="I64" s="228"/>
      <c r="J64" s="223"/>
      <c r="K64" s="223"/>
      <c r="L64" s="223"/>
      <c r="M64" s="223"/>
    </row>
    <row r="65" spans="1:13">
      <c r="A65" s="219">
        <f t="shared" si="5"/>
        <v>52</v>
      </c>
      <c r="C65" s="230" t="s">
        <v>302</v>
      </c>
      <c r="D65" s="169" t="s">
        <v>299</v>
      </c>
      <c r="E65" s="225">
        <f t="shared" si="6"/>
        <v>2020</v>
      </c>
      <c r="F65" s="226">
        <v>258321.88</v>
      </c>
      <c r="G65" s="227"/>
      <c r="H65" s="228"/>
      <c r="I65" s="228"/>
      <c r="J65" s="223"/>
      <c r="K65" s="223"/>
      <c r="L65" s="223"/>
      <c r="M65" s="223"/>
    </row>
    <row r="66" spans="1:13">
      <c r="A66" s="219">
        <f t="shared" si="5"/>
        <v>53</v>
      </c>
      <c r="C66" s="230" t="s">
        <v>303</v>
      </c>
      <c r="D66" s="169" t="s">
        <v>299</v>
      </c>
      <c r="E66" s="225">
        <f t="shared" si="6"/>
        <v>2020</v>
      </c>
      <c r="F66" s="226">
        <v>353957.79000000004</v>
      </c>
    </row>
    <row r="67" spans="1:13">
      <c r="A67" s="219">
        <f t="shared" si="5"/>
        <v>54</v>
      </c>
      <c r="C67" s="230" t="s">
        <v>304</v>
      </c>
      <c r="D67" s="169" t="s">
        <v>299</v>
      </c>
      <c r="E67" s="225">
        <f t="shared" si="6"/>
        <v>2020</v>
      </c>
      <c r="F67" s="226">
        <v>450558.67</v>
      </c>
      <c r="G67" s="227"/>
      <c r="H67" s="228"/>
      <c r="I67" s="229"/>
      <c r="J67" s="223"/>
      <c r="K67" s="223"/>
      <c r="L67" s="223"/>
      <c r="M67" s="223"/>
    </row>
    <row r="68" spans="1:13">
      <c r="A68" s="219">
        <f t="shared" si="5"/>
        <v>55</v>
      </c>
      <c r="C68" s="230" t="s">
        <v>305</v>
      </c>
      <c r="D68" s="169" t="s">
        <v>299</v>
      </c>
      <c r="E68" s="225">
        <f t="shared" si="6"/>
        <v>2020</v>
      </c>
      <c r="F68" s="226">
        <v>547821.24</v>
      </c>
      <c r="G68" s="231"/>
      <c r="J68" s="223"/>
      <c r="K68" s="223"/>
      <c r="L68" s="223"/>
      <c r="M68" s="223"/>
    </row>
    <row r="69" spans="1:13">
      <c r="A69" s="219">
        <f t="shared" si="5"/>
        <v>56</v>
      </c>
      <c r="B69" s="183"/>
      <c r="C69" s="230" t="s">
        <v>306</v>
      </c>
      <c r="D69" s="169" t="s">
        <v>299</v>
      </c>
      <c r="E69" s="225">
        <f t="shared" si="6"/>
        <v>2020</v>
      </c>
      <c r="F69" s="226">
        <v>644875.15</v>
      </c>
      <c r="G69" s="227"/>
      <c r="H69" s="228"/>
      <c r="I69" s="228"/>
      <c r="J69" s="223"/>
      <c r="K69" s="223"/>
      <c r="L69" s="223"/>
      <c r="M69" s="223"/>
    </row>
    <row r="70" spans="1:13">
      <c r="A70" s="219">
        <f t="shared" si="5"/>
        <v>57</v>
      </c>
      <c r="B70" s="183"/>
      <c r="C70" s="230" t="s">
        <v>307</v>
      </c>
      <c r="D70" s="169" t="s">
        <v>299</v>
      </c>
      <c r="E70" s="225">
        <f t="shared" si="6"/>
        <v>2020</v>
      </c>
      <c r="F70" s="226">
        <v>742049.19000000006</v>
      </c>
      <c r="G70" s="227"/>
      <c r="H70" s="228"/>
      <c r="I70" s="228"/>
      <c r="J70" s="223"/>
      <c r="K70" s="223"/>
      <c r="L70" s="223"/>
      <c r="M70" s="223"/>
    </row>
    <row r="71" spans="1:13">
      <c r="A71" s="219">
        <f t="shared" si="5"/>
        <v>58</v>
      </c>
      <c r="C71" s="230" t="s">
        <v>314</v>
      </c>
      <c r="D71" s="169" t="s">
        <v>299</v>
      </c>
      <c r="E71" s="225">
        <f t="shared" si="6"/>
        <v>2020</v>
      </c>
      <c r="F71" s="226">
        <v>839570.1</v>
      </c>
      <c r="G71" s="227"/>
      <c r="H71" s="228"/>
      <c r="I71" s="228"/>
      <c r="J71" s="223"/>
      <c r="K71" s="223"/>
      <c r="L71" s="223"/>
      <c r="M71" s="223"/>
    </row>
    <row r="72" spans="1:13">
      <c r="A72" s="219">
        <f t="shared" si="5"/>
        <v>59</v>
      </c>
      <c r="C72" s="230" t="s">
        <v>309</v>
      </c>
      <c r="D72" s="169" t="s">
        <v>299</v>
      </c>
      <c r="E72" s="225">
        <f t="shared" si="6"/>
        <v>2020</v>
      </c>
      <c r="F72" s="226">
        <v>941108.29</v>
      </c>
      <c r="H72" s="228"/>
      <c r="I72" s="228"/>
      <c r="J72" s="223"/>
      <c r="K72" s="223"/>
      <c r="L72" s="223"/>
      <c r="M72" s="223"/>
    </row>
    <row r="73" spans="1:13">
      <c r="A73" s="219">
        <f t="shared" si="5"/>
        <v>60</v>
      </c>
      <c r="C73" s="232" t="s">
        <v>296</v>
      </c>
      <c r="D73" s="233" t="s">
        <v>326</v>
      </c>
      <c r="E73" s="234">
        <f t="shared" si="6"/>
        <v>2020</v>
      </c>
      <c r="F73" s="235">
        <v>1047388</v>
      </c>
      <c r="G73" s="240"/>
    </row>
    <row r="74" spans="1:13">
      <c r="A74" s="219">
        <f t="shared" si="5"/>
        <v>61</v>
      </c>
      <c r="C74" s="237" t="s">
        <v>327</v>
      </c>
      <c r="D74" s="169" t="str">
        <f>"(sum lines "&amp;A61&amp;"-"&amp;A73&amp;") /13"</f>
        <v>(sum lines 48-60) /13</v>
      </c>
      <c r="E74" s="241"/>
      <c r="F74" s="239">
        <f>SUM(F61:F73)/13</f>
        <v>464323.05692307692</v>
      </c>
      <c r="G74" s="236"/>
      <c r="J74" s="223"/>
      <c r="K74" s="223"/>
      <c r="L74" s="223"/>
      <c r="M74" s="223"/>
    </row>
    <row r="75" spans="1:13">
      <c r="A75" s="219"/>
      <c r="B75" s="183"/>
      <c r="C75" s="230"/>
      <c r="E75" s="241"/>
      <c r="F75" s="242"/>
      <c r="G75" s="227"/>
      <c r="H75" s="228"/>
      <c r="I75" s="228"/>
      <c r="J75" s="223"/>
      <c r="K75" s="223"/>
      <c r="L75" s="223"/>
      <c r="M75" s="223"/>
    </row>
    <row r="76" spans="1:13">
      <c r="A76" s="219">
        <f>+A74+1</f>
        <v>62</v>
      </c>
      <c r="C76" s="220" t="s">
        <v>328</v>
      </c>
      <c r="D76" s="169" t="s">
        <v>59</v>
      </c>
      <c r="E76" s="243"/>
      <c r="F76" s="244"/>
      <c r="J76" s="223"/>
      <c r="K76" s="223"/>
      <c r="L76" s="223"/>
      <c r="M76" s="223"/>
    </row>
    <row r="77" spans="1:13">
      <c r="A77" s="219">
        <f>+A76+1</f>
        <v>63</v>
      </c>
      <c r="C77" s="169" t="s">
        <v>296</v>
      </c>
      <c r="D77" s="224" t="s">
        <v>329</v>
      </c>
      <c r="E77" s="225">
        <f>+$E$8</f>
        <v>2019</v>
      </c>
      <c r="F77" s="226">
        <v>0</v>
      </c>
      <c r="G77" s="227"/>
      <c r="H77" s="228"/>
      <c r="I77" s="229"/>
      <c r="J77" s="223"/>
      <c r="K77" s="223"/>
      <c r="L77" s="223"/>
      <c r="M77" s="223"/>
    </row>
    <row r="78" spans="1:13">
      <c r="A78" s="219">
        <f t="shared" ref="A78:A89" si="7">+A77+1</f>
        <v>64</v>
      </c>
      <c r="C78" s="230" t="s">
        <v>298</v>
      </c>
      <c r="D78" s="169" t="s">
        <v>299</v>
      </c>
      <c r="E78" s="225">
        <f>+$E$9</f>
        <v>2020</v>
      </c>
      <c r="F78" s="226">
        <v>0</v>
      </c>
      <c r="G78" s="227"/>
      <c r="H78" s="228"/>
      <c r="I78" s="229"/>
      <c r="J78" s="223"/>
      <c r="K78" s="223"/>
      <c r="L78" s="223"/>
      <c r="M78" s="223"/>
    </row>
    <row r="79" spans="1:13">
      <c r="A79" s="219">
        <f t="shared" si="7"/>
        <v>65</v>
      </c>
      <c r="C79" s="230" t="s">
        <v>300</v>
      </c>
      <c r="D79" s="169" t="s">
        <v>299</v>
      </c>
      <c r="E79" s="225">
        <f t="shared" ref="E79:E89" si="8">+$E$9</f>
        <v>2020</v>
      </c>
      <c r="F79" s="226">
        <v>0</v>
      </c>
      <c r="G79" s="227"/>
      <c r="H79" s="228"/>
      <c r="I79" s="229"/>
      <c r="J79" s="223"/>
      <c r="K79" s="223"/>
      <c r="L79" s="223"/>
      <c r="M79" s="223"/>
    </row>
    <row r="80" spans="1:13">
      <c r="A80" s="219">
        <f t="shared" si="7"/>
        <v>66</v>
      </c>
      <c r="C80" s="230" t="s">
        <v>301</v>
      </c>
      <c r="D80" s="169" t="s">
        <v>299</v>
      </c>
      <c r="E80" s="225">
        <f t="shared" si="8"/>
        <v>2020</v>
      </c>
      <c r="F80" s="226">
        <v>0</v>
      </c>
      <c r="G80" s="227"/>
      <c r="H80" s="228"/>
      <c r="I80" s="229"/>
      <c r="J80" s="223"/>
      <c r="K80" s="223"/>
      <c r="L80" s="223"/>
      <c r="M80" s="223"/>
    </row>
    <row r="81" spans="1:13">
      <c r="A81" s="219">
        <f t="shared" si="7"/>
        <v>67</v>
      </c>
      <c r="C81" s="230" t="s">
        <v>302</v>
      </c>
      <c r="D81" s="169" t="s">
        <v>299</v>
      </c>
      <c r="E81" s="225">
        <f t="shared" si="8"/>
        <v>2020</v>
      </c>
      <c r="F81" s="226">
        <v>0</v>
      </c>
      <c r="G81" s="227"/>
      <c r="H81" s="228"/>
      <c r="I81" s="229"/>
      <c r="J81" s="223"/>
      <c r="K81" s="223"/>
      <c r="L81" s="223"/>
      <c r="M81" s="223"/>
    </row>
    <row r="82" spans="1:13">
      <c r="A82" s="219">
        <f t="shared" si="7"/>
        <v>68</v>
      </c>
      <c r="C82" s="230" t="s">
        <v>303</v>
      </c>
      <c r="D82" s="169" t="s">
        <v>299</v>
      </c>
      <c r="E82" s="225">
        <f t="shared" si="8"/>
        <v>2020</v>
      </c>
      <c r="F82" s="226">
        <v>0</v>
      </c>
      <c r="G82" s="227"/>
      <c r="H82" s="228"/>
      <c r="I82" s="229"/>
      <c r="J82" s="223"/>
      <c r="K82" s="223"/>
      <c r="L82" s="223"/>
      <c r="M82" s="223"/>
    </row>
    <row r="83" spans="1:13">
      <c r="A83" s="219">
        <f t="shared" si="7"/>
        <v>69</v>
      </c>
      <c r="C83" s="230" t="s">
        <v>304</v>
      </c>
      <c r="D83" s="169" t="s">
        <v>299</v>
      </c>
      <c r="E83" s="225">
        <f t="shared" si="8"/>
        <v>2020</v>
      </c>
      <c r="F83" s="226">
        <v>0</v>
      </c>
      <c r="G83" s="227"/>
      <c r="H83" s="228"/>
      <c r="I83" s="229"/>
      <c r="J83" s="223"/>
      <c r="K83" s="223"/>
      <c r="L83" s="223"/>
      <c r="M83" s="223"/>
    </row>
    <row r="84" spans="1:13">
      <c r="A84" s="219">
        <f t="shared" si="7"/>
        <v>70</v>
      </c>
      <c r="C84" s="230" t="s">
        <v>305</v>
      </c>
      <c r="D84" s="169" t="s">
        <v>299</v>
      </c>
      <c r="E84" s="225">
        <f t="shared" si="8"/>
        <v>2020</v>
      </c>
      <c r="F84" s="226">
        <v>0</v>
      </c>
      <c r="G84" s="227"/>
      <c r="H84" s="228"/>
      <c r="I84" s="229"/>
      <c r="J84" s="223"/>
      <c r="K84" s="223"/>
      <c r="L84" s="223"/>
      <c r="M84" s="223"/>
    </row>
    <row r="85" spans="1:13">
      <c r="A85" s="219">
        <f t="shared" si="7"/>
        <v>71</v>
      </c>
      <c r="C85" s="230" t="s">
        <v>306</v>
      </c>
      <c r="D85" s="169" t="s">
        <v>299</v>
      </c>
      <c r="E85" s="225">
        <f t="shared" si="8"/>
        <v>2020</v>
      </c>
      <c r="F85" s="226">
        <v>0</v>
      </c>
      <c r="G85" s="227"/>
      <c r="H85" s="228"/>
      <c r="I85" s="229"/>
      <c r="J85" s="223"/>
      <c r="K85" s="223"/>
      <c r="L85" s="223"/>
      <c r="M85" s="223"/>
    </row>
    <row r="86" spans="1:13">
      <c r="A86" s="219">
        <f t="shared" si="7"/>
        <v>72</v>
      </c>
      <c r="C86" s="230" t="s">
        <v>307</v>
      </c>
      <c r="D86" s="169" t="s">
        <v>299</v>
      </c>
      <c r="E86" s="225">
        <f t="shared" si="8"/>
        <v>2020</v>
      </c>
      <c r="F86" s="226">
        <v>0</v>
      </c>
      <c r="G86" s="227"/>
      <c r="H86" s="228"/>
      <c r="I86" s="229"/>
      <c r="J86" s="223"/>
      <c r="K86" s="223"/>
      <c r="L86" s="223"/>
      <c r="M86" s="223"/>
    </row>
    <row r="87" spans="1:13">
      <c r="A87" s="219">
        <f t="shared" si="7"/>
        <v>73</v>
      </c>
      <c r="C87" s="230" t="s">
        <v>308</v>
      </c>
      <c r="D87" s="169" t="s">
        <v>299</v>
      </c>
      <c r="E87" s="225">
        <f t="shared" si="8"/>
        <v>2020</v>
      </c>
      <c r="F87" s="226">
        <v>0</v>
      </c>
      <c r="G87" s="227"/>
      <c r="H87" s="228"/>
      <c r="I87" s="229"/>
      <c r="J87" s="223"/>
      <c r="K87" s="223"/>
      <c r="L87" s="223"/>
      <c r="M87" s="223"/>
    </row>
    <row r="88" spans="1:13">
      <c r="A88" s="219">
        <f t="shared" si="7"/>
        <v>74</v>
      </c>
      <c r="C88" s="230" t="s">
        <v>309</v>
      </c>
      <c r="D88" s="169" t="s">
        <v>299</v>
      </c>
      <c r="E88" s="225">
        <f t="shared" si="8"/>
        <v>2020</v>
      </c>
      <c r="F88" s="226">
        <v>0</v>
      </c>
      <c r="G88" s="227"/>
      <c r="H88" s="228"/>
      <c r="I88" s="229"/>
      <c r="J88" s="223"/>
      <c r="K88" s="223"/>
      <c r="L88" s="223"/>
      <c r="M88" s="223"/>
    </row>
    <row r="89" spans="1:13">
      <c r="A89" s="219">
        <f t="shared" si="7"/>
        <v>75</v>
      </c>
      <c r="C89" s="232" t="s">
        <v>296</v>
      </c>
      <c r="D89" s="233" t="s">
        <v>330</v>
      </c>
      <c r="E89" s="234">
        <f t="shared" si="8"/>
        <v>2020</v>
      </c>
      <c r="F89" s="235">
        <v>0</v>
      </c>
      <c r="G89" s="240"/>
    </row>
    <row r="90" spans="1:13">
      <c r="A90" s="219">
        <f>+A89+1</f>
        <v>76</v>
      </c>
      <c r="C90" s="237" t="s">
        <v>331</v>
      </c>
      <c r="D90" s="169" t="str">
        <f>"(sum lines "&amp;A77&amp;" - "&amp;A89&amp;") /13"</f>
        <v>(sum lines 63 - 75) /13</v>
      </c>
      <c r="E90" s="241"/>
      <c r="F90" s="239">
        <f>SUM(F77:F89)/13</f>
        <v>0</v>
      </c>
      <c r="G90" s="236"/>
      <c r="J90" s="223"/>
      <c r="K90" s="223"/>
      <c r="L90" s="223"/>
      <c r="M90" s="223"/>
    </row>
    <row r="91" spans="1:13">
      <c r="A91" s="219"/>
      <c r="C91" s="230"/>
      <c r="E91" s="246"/>
      <c r="F91" s="242"/>
      <c r="G91" s="227"/>
      <c r="H91" s="228"/>
      <c r="I91" s="228"/>
      <c r="J91" s="223"/>
      <c r="K91" s="223"/>
      <c r="L91" s="223"/>
      <c r="M91" s="223"/>
    </row>
    <row r="92" spans="1:13">
      <c r="A92" s="219">
        <f>+A90+1</f>
        <v>77</v>
      </c>
      <c r="C92" s="220" t="s">
        <v>332</v>
      </c>
      <c r="D92" s="169" t="s">
        <v>59</v>
      </c>
      <c r="E92" s="243"/>
      <c r="F92" s="244"/>
      <c r="J92" s="223"/>
      <c r="K92" s="223"/>
      <c r="L92" s="223"/>
      <c r="M92" s="223"/>
    </row>
    <row r="93" spans="1:13">
      <c r="A93" s="219">
        <f>+A92+1</f>
        <v>78</v>
      </c>
      <c r="C93" s="169" t="s">
        <v>296</v>
      </c>
      <c r="D93" s="224" t="s">
        <v>333</v>
      </c>
      <c r="E93" s="225">
        <f>+$E$8</f>
        <v>2019</v>
      </c>
      <c r="F93" s="226">
        <v>0</v>
      </c>
      <c r="G93" s="227"/>
      <c r="H93" s="228"/>
      <c r="I93" s="229"/>
      <c r="J93" s="223"/>
      <c r="K93" s="223"/>
      <c r="L93" s="223"/>
      <c r="M93" s="223"/>
    </row>
    <row r="94" spans="1:13">
      <c r="A94" s="219">
        <f t="shared" ref="A94:A105" si="9">+A93+1</f>
        <v>79</v>
      </c>
      <c r="C94" s="230" t="s">
        <v>298</v>
      </c>
      <c r="D94" s="169" t="s">
        <v>299</v>
      </c>
      <c r="E94" s="225">
        <f>+$E$9</f>
        <v>2020</v>
      </c>
      <c r="F94" s="226">
        <v>0</v>
      </c>
      <c r="G94" s="227"/>
      <c r="H94" s="228"/>
      <c r="I94" s="229"/>
      <c r="J94" s="223"/>
      <c r="K94" s="223"/>
      <c r="L94" s="223"/>
      <c r="M94" s="223"/>
    </row>
    <row r="95" spans="1:13">
      <c r="A95" s="219">
        <f t="shared" si="9"/>
        <v>80</v>
      </c>
      <c r="C95" s="230" t="s">
        <v>300</v>
      </c>
      <c r="D95" s="169" t="s">
        <v>299</v>
      </c>
      <c r="E95" s="225">
        <f t="shared" ref="E95:E105" si="10">+$E$9</f>
        <v>2020</v>
      </c>
      <c r="F95" s="226">
        <v>0</v>
      </c>
      <c r="G95" s="227"/>
      <c r="H95" s="228"/>
      <c r="I95" s="229"/>
      <c r="J95" s="223"/>
      <c r="K95" s="223"/>
      <c r="L95" s="223"/>
      <c r="M95" s="223"/>
    </row>
    <row r="96" spans="1:13">
      <c r="A96" s="219">
        <f t="shared" si="9"/>
        <v>81</v>
      </c>
      <c r="C96" s="230" t="s">
        <v>301</v>
      </c>
      <c r="D96" s="169" t="s">
        <v>299</v>
      </c>
      <c r="E96" s="225">
        <f t="shared" si="10"/>
        <v>2020</v>
      </c>
      <c r="F96" s="226">
        <v>0</v>
      </c>
      <c r="G96" s="227"/>
      <c r="H96" s="228"/>
      <c r="I96" s="229"/>
      <c r="J96" s="223"/>
      <c r="K96" s="223"/>
      <c r="L96" s="223"/>
      <c r="M96" s="223"/>
    </row>
    <row r="97" spans="1:13">
      <c r="A97" s="219">
        <f t="shared" si="9"/>
        <v>82</v>
      </c>
      <c r="C97" s="230" t="s">
        <v>302</v>
      </c>
      <c r="D97" s="169" t="s">
        <v>299</v>
      </c>
      <c r="E97" s="225">
        <f t="shared" si="10"/>
        <v>2020</v>
      </c>
      <c r="F97" s="226">
        <v>0</v>
      </c>
      <c r="G97" s="227"/>
      <c r="H97" s="228"/>
      <c r="I97" s="229"/>
      <c r="J97" s="223"/>
      <c r="K97" s="223"/>
      <c r="L97" s="223"/>
      <c r="M97" s="223"/>
    </row>
    <row r="98" spans="1:13">
      <c r="A98" s="219">
        <f t="shared" si="9"/>
        <v>83</v>
      </c>
      <c r="C98" s="230" t="s">
        <v>303</v>
      </c>
      <c r="D98" s="169" t="s">
        <v>299</v>
      </c>
      <c r="E98" s="225">
        <f t="shared" si="10"/>
        <v>2020</v>
      </c>
      <c r="F98" s="226">
        <v>0</v>
      </c>
      <c r="G98" s="227"/>
      <c r="H98" s="228"/>
      <c r="I98" s="229"/>
      <c r="J98" s="223"/>
      <c r="K98" s="223"/>
      <c r="L98" s="223"/>
      <c r="M98" s="223"/>
    </row>
    <row r="99" spans="1:13">
      <c r="A99" s="219">
        <f t="shared" si="9"/>
        <v>84</v>
      </c>
      <c r="C99" s="230" t="s">
        <v>304</v>
      </c>
      <c r="D99" s="169" t="s">
        <v>299</v>
      </c>
      <c r="E99" s="225">
        <f t="shared" si="10"/>
        <v>2020</v>
      </c>
      <c r="F99" s="226">
        <v>32.270000000000003</v>
      </c>
      <c r="G99" s="227"/>
      <c r="H99" s="228"/>
      <c r="I99" s="229"/>
      <c r="J99" s="223"/>
      <c r="K99" s="223"/>
      <c r="L99" s="223"/>
      <c r="M99" s="223"/>
    </row>
    <row r="100" spans="1:13">
      <c r="A100" s="219">
        <f t="shared" si="9"/>
        <v>85</v>
      </c>
      <c r="C100" s="230" t="s">
        <v>305</v>
      </c>
      <c r="D100" s="169" t="s">
        <v>299</v>
      </c>
      <c r="E100" s="225">
        <f t="shared" si="10"/>
        <v>2020</v>
      </c>
      <c r="F100" s="226">
        <v>96.8</v>
      </c>
      <c r="G100" s="227"/>
      <c r="H100" s="228"/>
      <c r="I100" s="229"/>
      <c r="J100" s="223"/>
      <c r="K100" s="223"/>
      <c r="L100" s="223"/>
      <c r="M100" s="223"/>
    </row>
    <row r="101" spans="1:13">
      <c r="A101" s="219">
        <f t="shared" si="9"/>
        <v>86</v>
      </c>
      <c r="C101" s="230" t="s">
        <v>306</v>
      </c>
      <c r="D101" s="169" t="s">
        <v>299</v>
      </c>
      <c r="E101" s="225">
        <f t="shared" si="10"/>
        <v>2020</v>
      </c>
      <c r="F101" s="226">
        <v>161.33000000000001</v>
      </c>
      <c r="G101" s="227"/>
      <c r="H101" s="228"/>
      <c r="I101" s="229"/>
      <c r="J101" s="223"/>
      <c r="K101" s="223"/>
      <c r="L101" s="223"/>
      <c r="M101" s="223"/>
    </row>
    <row r="102" spans="1:13">
      <c r="A102" s="219">
        <f t="shared" si="9"/>
        <v>87</v>
      </c>
      <c r="C102" s="230" t="s">
        <v>307</v>
      </c>
      <c r="D102" s="169" t="s">
        <v>299</v>
      </c>
      <c r="E102" s="225">
        <f t="shared" si="10"/>
        <v>2020</v>
      </c>
      <c r="F102" s="226">
        <v>225.86</v>
      </c>
      <c r="G102" s="227"/>
      <c r="H102" s="228"/>
      <c r="I102" s="229"/>
      <c r="J102" s="223"/>
      <c r="K102" s="223"/>
      <c r="L102" s="223"/>
      <c r="M102" s="223"/>
    </row>
    <row r="103" spans="1:13">
      <c r="A103" s="219">
        <f t="shared" si="9"/>
        <v>88</v>
      </c>
      <c r="C103" s="230" t="s">
        <v>308</v>
      </c>
      <c r="D103" s="169" t="s">
        <v>299</v>
      </c>
      <c r="E103" s="225">
        <f t="shared" si="10"/>
        <v>2020</v>
      </c>
      <c r="F103" s="226">
        <v>290.39</v>
      </c>
      <c r="G103" s="227"/>
      <c r="H103" s="228"/>
      <c r="I103" s="229"/>
      <c r="J103" s="223"/>
      <c r="K103" s="223"/>
      <c r="L103" s="223"/>
      <c r="M103" s="223"/>
    </row>
    <row r="104" spans="1:13">
      <c r="A104" s="219">
        <f t="shared" si="9"/>
        <v>89</v>
      </c>
      <c r="C104" s="230" t="s">
        <v>309</v>
      </c>
      <c r="D104" s="169" t="s">
        <v>299</v>
      </c>
      <c r="E104" s="225">
        <f t="shared" si="10"/>
        <v>2020</v>
      </c>
      <c r="F104" s="226">
        <v>354.92</v>
      </c>
      <c r="G104" s="227"/>
      <c r="H104" s="228"/>
      <c r="I104" s="229"/>
      <c r="J104" s="223"/>
      <c r="K104" s="223"/>
      <c r="L104" s="223"/>
      <c r="M104" s="223"/>
    </row>
    <row r="105" spans="1:13">
      <c r="A105" s="219">
        <f t="shared" si="9"/>
        <v>90</v>
      </c>
      <c r="C105" s="232" t="s">
        <v>296</v>
      </c>
      <c r="D105" s="233" t="s">
        <v>334</v>
      </c>
      <c r="E105" s="234">
        <f t="shared" si="10"/>
        <v>2020</v>
      </c>
      <c r="F105" s="235">
        <v>419</v>
      </c>
      <c r="G105" s="240"/>
    </row>
    <row r="106" spans="1:13">
      <c r="A106" s="219">
        <f>+A105+1</f>
        <v>91</v>
      </c>
      <c r="C106" s="237" t="s">
        <v>335</v>
      </c>
      <c r="D106" s="169" t="str">
        <f>"(sum lines "&amp;A93&amp;" - "&amp;A105&amp;") /13"</f>
        <v>(sum lines 78 - 90) /13</v>
      </c>
      <c r="E106" s="241"/>
      <c r="F106" s="239">
        <f>SUM(F93:F105)/13</f>
        <v>121.58230769230769</v>
      </c>
      <c r="G106" s="236"/>
      <c r="J106" s="223"/>
      <c r="K106" s="223"/>
      <c r="L106" s="223"/>
      <c r="M106" s="223"/>
    </row>
    <row r="107" spans="1:13">
      <c r="A107" s="219"/>
      <c r="C107" s="230"/>
      <c r="D107" s="224"/>
      <c r="E107" s="246"/>
      <c r="F107" s="257"/>
    </row>
    <row r="108" spans="1:13">
      <c r="A108" s="219">
        <f>+A106+1</f>
        <v>92</v>
      </c>
      <c r="C108" s="220" t="s">
        <v>336</v>
      </c>
      <c r="D108" s="224" t="str">
        <f>"(sum lines "&amp;A74&amp;", "&amp;A90&amp;", and "&amp;A106&amp;")"</f>
        <v>(sum lines 61, 76, and 91)</v>
      </c>
      <c r="E108" s="238"/>
      <c r="F108" s="248">
        <f>F74+F90+F106</f>
        <v>464444.63923076924</v>
      </c>
      <c r="G108" s="249"/>
      <c r="H108" s="258"/>
    </row>
    <row r="109" spans="1:13">
      <c r="B109" s="183"/>
      <c r="C109" s="230"/>
      <c r="E109" s="247"/>
      <c r="F109" s="230"/>
      <c r="G109" s="249"/>
      <c r="H109" s="228"/>
      <c r="I109" s="228"/>
      <c r="J109" s="223"/>
      <c r="K109" s="223"/>
      <c r="L109" s="223"/>
      <c r="M109" s="223"/>
    </row>
    <row r="110" spans="1:13">
      <c r="B110" s="183"/>
      <c r="C110" s="230" t="s">
        <v>337</v>
      </c>
      <c r="E110" s="247"/>
      <c r="F110" s="230"/>
      <c r="G110" s="249"/>
      <c r="H110" s="228"/>
      <c r="I110" s="228"/>
      <c r="J110" s="223"/>
      <c r="K110" s="223"/>
      <c r="L110" s="223"/>
      <c r="M110" s="223"/>
    </row>
    <row r="111" spans="1:13">
      <c r="C111" s="169" t="s">
        <v>338</v>
      </c>
    </row>
    <row r="163" spans="8:8">
      <c r="H163" s="259"/>
    </row>
  </sheetData>
  <mergeCells count="8">
    <mergeCell ref="A59:F59"/>
    <mergeCell ref="J59:M59"/>
    <mergeCell ref="A1:F1"/>
    <mergeCell ref="A2:F2"/>
    <mergeCell ref="C3:D3"/>
    <mergeCell ref="C4:D4"/>
    <mergeCell ref="A6:F6"/>
    <mergeCell ref="J6:M6"/>
  </mergeCells>
  <printOptions horizontalCentered="1"/>
  <pageMargins left="0.25" right="0.25" top="0.75" bottom="0.75" header="0.5" footer="0.5"/>
  <pageSetup scale="56" fitToHeight="0" orientation="landscape" r:id="rId1"/>
  <headerFooter alignWithMargins="0"/>
  <rowBreaks count="1" manualBreakCount="1">
    <brk id="56"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EA5A0-03AC-4FB6-A94F-BA31FF07F068}">
  <sheetPr>
    <pageSetUpPr fitToPage="1"/>
  </sheetPr>
  <dimension ref="A1:M184"/>
  <sheetViews>
    <sheetView view="pageBreakPreview" topLeftCell="A112" zoomScale="70" zoomScaleNormal="75" zoomScaleSheetLayoutView="70" workbookViewId="0">
      <selection activeCell="G16" sqref="G16"/>
    </sheetView>
  </sheetViews>
  <sheetFormatPr defaultColWidth="8.88671875" defaultRowHeight="15.75"/>
  <cols>
    <col min="1" max="1" width="5" style="183" customWidth="1"/>
    <col min="2" max="2" width="3.33203125" style="169" customWidth="1"/>
    <col min="3" max="3" width="48.33203125" style="169" customWidth="1"/>
    <col min="4" max="4" width="22" style="169" customWidth="1"/>
    <col min="5" max="5" width="13.6640625" style="169" customWidth="1"/>
    <col min="6" max="6" width="18.109375" style="169" customWidth="1"/>
    <col min="7" max="7" width="15.33203125" style="169" customWidth="1"/>
    <col min="8" max="8" width="11.88671875" style="169" customWidth="1"/>
    <col min="9" max="9" width="13" style="169" customWidth="1"/>
    <col min="10" max="10" width="10.6640625" style="169" customWidth="1"/>
    <col min="11" max="11" width="9" style="169" customWidth="1"/>
    <col min="12" max="12" width="7.5546875" style="169" customWidth="1"/>
    <col min="13" max="13" width="8.21875" style="169" bestFit="1" customWidth="1"/>
    <col min="14" max="16384" width="8.88671875" style="184"/>
  </cols>
  <sheetData>
    <row r="1" spans="1:13">
      <c r="B1" s="183"/>
      <c r="C1" s="230"/>
      <c r="E1" s="247"/>
      <c r="F1" s="230"/>
      <c r="G1" s="260"/>
      <c r="H1" s="183"/>
      <c r="I1" s="183"/>
      <c r="J1" s="261"/>
      <c r="K1" s="261"/>
      <c r="L1" s="261"/>
      <c r="M1" s="261"/>
    </row>
    <row r="2" spans="1:13" ht="16.5" thickBot="1">
      <c r="A2" s="212" t="str">
        <f>+'Appendix III'!C80</f>
        <v>ADJUSTMENTS TO RATE BASE       (Note A)</v>
      </c>
      <c r="K2" s="169" t="s">
        <v>3</v>
      </c>
    </row>
    <row r="3" spans="1:13" ht="50.25" customHeight="1" thickBot="1">
      <c r="A3" s="262" t="s">
        <v>292</v>
      </c>
      <c r="B3" s="263"/>
      <c r="C3" s="263"/>
      <c r="D3" s="263"/>
      <c r="E3" s="263"/>
      <c r="F3" s="264"/>
      <c r="G3" s="265"/>
      <c r="H3" s="265"/>
      <c r="I3" s="265"/>
      <c r="J3" s="266" t="s">
        <v>339</v>
      </c>
      <c r="K3" s="267"/>
      <c r="L3" s="267"/>
      <c r="M3" s="268"/>
    </row>
    <row r="4" spans="1:13">
      <c r="A4" s="269"/>
      <c r="B4" s="270"/>
      <c r="C4" s="271"/>
      <c r="D4" s="272"/>
      <c r="E4" s="270" t="s">
        <v>340</v>
      </c>
      <c r="F4" s="270" t="s">
        <v>341</v>
      </c>
      <c r="G4" s="273" t="s">
        <v>342</v>
      </c>
      <c r="H4" s="274"/>
      <c r="I4" s="275"/>
      <c r="J4" s="276"/>
      <c r="K4" s="277"/>
      <c r="L4" s="277"/>
      <c r="M4" s="278"/>
    </row>
    <row r="5" spans="1:13" s="6" customFormat="1">
      <c r="A5" s="279">
        <f>+'2 - Cost Support '!A108+1</f>
        <v>93</v>
      </c>
      <c r="B5" s="2"/>
      <c r="C5" s="2" t="s">
        <v>343</v>
      </c>
      <c r="D5" s="2" t="s">
        <v>344</v>
      </c>
      <c r="E5" s="280">
        <v>0</v>
      </c>
      <c r="F5" s="280">
        <v>0</v>
      </c>
      <c r="G5" s="281">
        <f>+E5/2+F5/2</f>
        <v>0</v>
      </c>
      <c r="H5" s="282"/>
      <c r="I5" s="9"/>
      <c r="J5" s="9"/>
      <c r="K5" s="9"/>
      <c r="L5" s="49"/>
      <c r="M5" s="283"/>
    </row>
    <row r="6" spans="1:13" s="6" customFormat="1">
      <c r="A6" s="279"/>
      <c r="B6" s="2"/>
      <c r="C6" s="2"/>
      <c r="D6" s="2"/>
      <c r="E6" s="9"/>
      <c r="F6" s="9"/>
      <c r="G6" s="281"/>
      <c r="H6" s="282"/>
      <c r="I6" s="9"/>
      <c r="J6" s="9"/>
      <c r="K6" s="9"/>
      <c r="L6" s="49"/>
      <c r="M6" s="283"/>
    </row>
    <row r="7" spans="1:13" s="6" customFormat="1">
      <c r="A7" s="279">
        <f>+A5+1</f>
        <v>94</v>
      </c>
      <c r="B7" s="2"/>
      <c r="C7" s="2" t="s">
        <v>92</v>
      </c>
      <c r="D7" s="9" t="s">
        <v>345</v>
      </c>
      <c r="E7" s="284">
        <v>0</v>
      </c>
      <c r="F7" s="284">
        <v>0</v>
      </c>
      <c r="G7" s="285">
        <f>+E7/2+F7/2</f>
        <v>0</v>
      </c>
      <c r="H7" s="282"/>
      <c r="I7" s="9"/>
      <c r="J7" s="9"/>
      <c r="K7" s="9"/>
      <c r="L7" s="49"/>
      <c r="M7" s="283"/>
    </row>
    <row r="8" spans="1:13" s="6" customFormat="1">
      <c r="A8" s="279"/>
      <c r="B8" s="2"/>
      <c r="C8" s="2" t="s">
        <v>346</v>
      </c>
      <c r="D8" s="9"/>
      <c r="E8" s="9"/>
      <c r="F8" s="9"/>
      <c r="G8" s="281"/>
      <c r="H8" s="282"/>
      <c r="I8" s="9"/>
      <c r="J8" s="2"/>
      <c r="K8" s="9"/>
      <c r="L8" s="49"/>
      <c r="M8" s="283"/>
    </row>
    <row r="9" spans="1:13" s="6" customFormat="1">
      <c r="A9" s="279">
        <f>+A7+1</f>
        <v>95</v>
      </c>
      <c r="B9" s="2"/>
      <c r="C9" s="2" t="s">
        <v>347</v>
      </c>
      <c r="D9" s="9"/>
      <c r="E9" s="9"/>
      <c r="F9" s="286">
        <v>0</v>
      </c>
      <c r="G9" s="281"/>
      <c r="H9" s="282"/>
      <c r="I9" s="9"/>
      <c r="J9" s="2"/>
      <c r="K9" s="9"/>
      <c r="L9" s="49"/>
      <c r="M9" s="283"/>
    </row>
    <row r="10" spans="1:13" s="6" customFormat="1">
      <c r="A10" s="279"/>
      <c r="B10" s="2"/>
      <c r="C10" s="2" t="str">
        <f>+C8</f>
        <v xml:space="preserve">  (recovery of abandoned plant requires a FERC order approving the amount and recovery period and Attachment 11 being completed)</v>
      </c>
      <c r="D10" s="9"/>
      <c r="E10" s="9"/>
      <c r="F10" s="9"/>
      <c r="G10" s="281"/>
      <c r="H10" s="282"/>
      <c r="I10" s="9"/>
      <c r="J10" s="2"/>
      <c r="K10" s="9"/>
      <c r="L10" s="49"/>
      <c r="M10" s="283"/>
    </row>
    <row r="11" spans="1:13" s="6" customFormat="1">
      <c r="A11" s="279">
        <f>+A9+1</f>
        <v>96</v>
      </c>
      <c r="B11" s="2"/>
      <c r="C11" s="2" t="s">
        <v>348</v>
      </c>
      <c r="D11" s="2"/>
      <c r="E11" s="260"/>
      <c r="F11" s="260"/>
      <c r="G11" s="281"/>
      <c r="H11" s="282"/>
      <c r="I11" s="9"/>
      <c r="J11" s="9"/>
      <c r="K11" s="9"/>
      <c r="L11" s="49"/>
      <c r="M11" s="283"/>
    </row>
    <row r="12" spans="1:13" s="6" customFormat="1">
      <c r="A12" s="279"/>
      <c r="B12" s="2"/>
      <c r="C12" s="2" t="s">
        <v>349</v>
      </c>
      <c r="D12" s="2"/>
      <c r="E12" s="183" t="s">
        <v>294</v>
      </c>
      <c r="F12" s="287" t="s">
        <v>295</v>
      </c>
      <c r="G12" s="288"/>
      <c r="H12" s="282"/>
      <c r="I12" s="9"/>
      <c r="J12" s="9"/>
      <c r="K12" s="9"/>
      <c r="L12" s="49"/>
      <c r="M12" s="283"/>
    </row>
    <row r="13" spans="1:13" s="6" customFormat="1">
      <c r="A13" s="219">
        <f>+A11+1</f>
        <v>97</v>
      </c>
      <c r="B13" s="183"/>
      <c r="C13" s="169" t="s">
        <v>296</v>
      </c>
      <c r="D13" s="9" t="s">
        <v>350</v>
      </c>
      <c r="E13" s="225">
        <v>2019</v>
      </c>
      <c r="F13" s="289">
        <v>0</v>
      </c>
      <c r="G13" s="2"/>
      <c r="H13" s="2"/>
      <c r="I13" s="9"/>
      <c r="J13" s="9"/>
      <c r="K13" s="9"/>
      <c r="L13" s="49"/>
      <c r="M13" s="283"/>
    </row>
    <row r="14" spans="1:13" s="6" customFormat="1">
      <c r="A14" s="219">
        <f t="shared" ref="A14:A26" si="0">+A13+1</f>
        <v>98</v>
      </c>
      <c r="B14" s="183"/>
      <c r="C14" s="230" t="s">
        <v>298</v>
      </c>
      <c r="D14" s="169" t="s">
        <v>351</v>
      </c>
      <c r="E14" s="225">
        <v>2020</v>
      </c>
      <c r="F14" s="289">
        <v>0</v>
      </c>
      <c r="G14" s="2"/>
      <c r="H14" s="2"/>
      <c r="I14" s="9"/>
      <c r="J14" s="9"/>
      <c r="K14" s="9"/>
      <c r="L14" s="49"/>
      <c r="M14" s="283"/>
    </row>
    <row r="15" spans="1:13" s="6" customFormat="1">
      <c r="A15" s="219">
        <f t="shared" si="0"/>
        <v>99</v>
      </c>
      <c r="B15" s="183"/>
      <c r="C15" s="230" t="s">
        <v>300</v>
      </c>
      <c r="D15" s="169" t="s">
        <v>351</v>
      </c>
      <c r="E15" s="225">
        <v>2020</v>
      </c>
      <c r="F15" s="289">
        <v>0</v>
      </c>
      <c r="G15" s="2"/>
      <c r="H15" s="2"/>
      <c r="I15" s="9"/>
      <c r="J15" s="9"/>
      <c r="K15" s="9"/>
      <c r="L15" s="49"/>
      <c r="M15" s="283"/>
    </row>
    <row r="16" spans="1:13" s="6" customFormat="1">
      <c r="A16" s="219">
        <f t="shared" si="0"/>
        <v>100</v>
      </c>
      <c r="B16" s="183"/>
      <c r="C16" s="230" t="s">
        <v>301</v>
      </c>
      <c r="D16" s="169" t="s">
        <v>351</v>
      </c>
      <c r="E16" s="225">
        <v>2020</v>
      </c>
      <c r="F16" s="289">
        <v>0</v>
      </c>
      <c r="G16" s="2"/>
      <c r="H16" s="2"/>
      <c r="I16" s="9"/>
      <c r="J16" s="9"/>
      <c r="K16" s="9"/>
      <c r="L16" s="49"/>
      <c r="M16" s="283"/>
    </row>
    <row r="17" spans="1:13" s="6" customFormat="1">
      <c r="A17" s="219">
        <f t="shared" si="0"/>
        <v>101</v>
      </c>
      <c r="B17" s="183"/>
      <c r="C17" s="230" t="s">
        <v>302</v>
      </c>
      <c r="D17" s="169" t="s">
        <v>351</v>
      </c>
      <c r="E17" s="225">
        <v>2020</v>
      </c>
      <c r="F17" s="289">
        <v>0</v>
      </c>
      <c r="G17" s="2"/>
      <c r="H17" s="2"/>
      <c r="I17" s="9"/>
      <c r="J17" s="9"/>
      <c r="K17" s="9"/>
      <c r="L17" s="49"/>
      <c r="M17" s="283"/>
    </row>
    <row r="18" spans="1:13" s="6" customFormat="1">
      <c r="A18" s="219">
        <f t="shared" si="0"/>
        <v>102</v>
      </c>
      <c r="B18" s="183"/>
      <c r="C18" s="230" t="s">
        <v>303</v>
      </c>
      <c r="D18" s="169" t="s">
        <v>351</v>
      </c>
      <c r="E18" s="225">
        <v>2020</v>
      </c>
      <c r="F18" s="289">
        <v>0</v>
      </c>
      <c r="G18" s="2"/>
      <c r="H18" s="2"/>
      <c r="I18" s="9"/>
      <c r="J18" s="9"/>
      <c r="K18" s="9"/>
      <c r="L18" s="49"/>
      <c r="M18" s="283"/>
    </row>
    <row r="19" spans="1:13" s="6" customFormat="1">
      <c r="A19" s="219">
        <f t="shared" si="0"/>
        <v>103</v>
      </c>
      <c r="B19" s="183"/>
      <c r="C19" s="230" t="s">
        <v>304</v>
      </c>
      <c r="D19" s="169" t="s">
        <v>351</v>
      </c>
      <c r="E19" s="225">
        <v>2020</v>
      </c>
      <c r="F19" s="289">
        <v>16745</v>
      </c>
      <c r="G19" s="2"/>
      <c r="H19" s="2"/>
      <c r="I19" s="9"/>
      <c r="J19" s="9"/>
      <c r="K19" s="9"/>
      <c r="L19" s="49"/>
      <c r="M19" s="283"/>
    </row>
    <row r="20" spans="1:13" s="6" customFormat="1">
      <c r="A20" s="219">
        <f t="shared" si="0"/>
        <v>104</v>
      </c>
      <c r="B20" s="183"/>
      <c r="C20" s="230" t="s">
        <v>305</v>
      </c>
      <c r="D20" s="169" t="s">
        <v>351</v>
      </c>
      <c r="E20" s="225">
        <v>2020</v>
      </c>
      <c r="F20" s="289">
        <v>15222.73</v>
      </c>
      <c r="G20" s="2"/>
      <c r="H20" s="2"/>
      <c r="I20" s="9"/>
      <c r="J20" s="9"/>
      <c r="K20" s="9"/>
      <c r="L20" s="49"/>
      <c r="M20" s="283"/>
    </row>
    <row r="21" spans="1:13" s="6" customFormat="1">
      <c r="A21" s="219">
        <f t="shared" si="0"/>
        <v>105</v>
      </c>
      <c r="B21" s="183"/>
      <c r="C21" s="230" t="s">
        <v>306</v>
      </c>
      <c r="D21" s="169" t="s">
        <v>351</v>
      </c>
      <c r="E21" s="225">
        <v>2020</v>
      </c>
      <c r="F21" s="289">
        <v>13700.45</v>
      </c>
      <c r="G21" s="2"/>
      <c r="H21" s="2"/>
      <c r="I21" s="9"/>
      <c r="J21" s="9"/>
      <c r="K21" s="9"/>
      <c r="L21" s="49"/>
      <c r="M21" s="283"/>
    </row>
    <row r="22" spans="1:13" s="6" customFormat="1">
      <c r="A22" s="219">
        <f t="shared" si="0"/>
        <v>106</v>
      </c>
      <c r="B22" s="183"/>
      <c r="C22" s="230" t="s">
        <v>307</v>
      </c>
      <c r="D22" s="169" t="s">
        <v>351</v>
      </c>
      <c r="E22" s="225">
        <v>2020</v>
      </c>
      <c r="F22" s="289">
        <v>12178.17</v>
      </c>
      <c r="G22" s="2"/>
      <c r="H22" s="2"/>
      <c r="I22" s="9"/>
      <c r="J22" s="9"/>
      <c r="K22" s="9"/>
      <c r="L22" s="49"/>
      <c r="M22" s="283"/>
    </row>
    <row r="23" spans="1:13" s="6" customFormat="1">
      <c r="A23" s="219">
        <f t="shared" si="0"/>
        <v>107</v>
      </c>
      <c r="B23" s="183"/>
      <c r="C23" s="230" t="s">
        <v>308</v>
      </c>
      <c r="D23" s="169" t="s">
        <v>351</v>
      </c>
      <c r="E23" s="225">
        <v>2020</v>
      </c>
      <c r="F23" s="289">
        <v>10655.89</v>
      </c>
      <c r="G23" s="2"/>
      <c r="H23" s="2"/>
      <c r="I23" s="9"/>
      <c r="J23" s="9"/>
      <c r="K23" s="9"/>
      <c r="L23" s="49"/>
      <c r="M23" s="283"/>
    </row>
    <row r="24" spans="1:13" s="6" customFormat="1">
      <c r="A24" s="219">
        <f t="shared" si="0"/>
        <v>108</v>
      </c>
      <c r="B24" s="183"/>
      <c r="C24" s="230" t="s">
        <v>309</v>
      </c>
      <c r="D24" s="169" t="s">
        <v>351</v>
      </c>
      <c r="E24" s="225">
        <v>2020</v>
      </c>
      <c r="F24" s="289">
        <v>9878.32</v>
      </c>
      <c r="G24" s="2"/>
      <c r="H24" s="2"/>
      <c r="I24" s="9"/>
      <c r="J24" s="9"/>
      <c r="K24" s="9"/>
      <c r="L24" s="49"/>
      <c r="M24" s="283"/>
    </row>
    <row r="25" spans="1:13" s="6" customFormat="1">
      <c r="A25" s="219">
        <f t="shared" si="0"/>
        <v>109</v>
      </c>
      <c r="B25" s="183"/>
      <c r="C25" s="232" t="s">
        <v>296</v>
      </c>
      <c r="D25" s="233" t="s">
        <v>352</v>
      </c>
      <c r="E25" s="234">
        <v>2020</v>
      </c>
      <c r="F25" s="290">
        <v>8277.65</v>
      </c>
      <c r="G25" s="2"/>
      <c r="H25" s="2"/>
      <c r="I25" s="9"/>
      <c r="J25" s="9"/>
      <c r="K25" s="9"/>
      <c r="L25" s="49"/>
      <c r="M25" s="283"/>
    </row>
    <row r="26" spans="1:13" s="6" customFormat="1">
      <c r="A26" s="219">
        <f t="shared" si="0"/>
        <v>110</v>
      </c>
      <c r="B26" s="183"/>
      <c r="C26" s="237" t="s">
        <v>353</v>
      </c>
      <c r="D26" s="169" t="str">
        <f>"(sum lines "&amp;A13&amp;"-"&amp;A25&amp;") /13"</f>
        <v>(sum lines 97-109) /13</v>
      </c>
      <c r="E26" s="238"/>
      <c r="F26" s="239">
        <f>SUM(F13:F25)/13</f>
        <v>6666.0161538461534</v>
      </c>
      <c r="G26" s="2"/>
      <c r="H26" s="2"/>
      <c r="I26" s="9"/>
      <c r="J26" s="9"/>
      <c r="K26" s="9"/>
      <c r="L26" s="49"/>
      <c r="M26" s="283"/>
    </row>
    <row r="27" spans="1:13" s="6" customFormat="1">
      <c r="A27" s="279"/>
      <c r="B27" s="2"/>
      <c r="C27" s="2"/>
      <c r="D27" s="2"/>
      <c r="E27" s="9"/>
      <c r="F27" s="9"/>
      <c r="G27" s="288"/>
      <c r="H27" s="282"/>
      <c r="I27" s="9"/>
      <c r="J27" s="9"/>
      <c r="K27" s="9"/>
      <c r="L27" s="49"/>
      <c r="M27" s="283"/>
    </row>
    <row r="28" spans="1:13">
      <c r="A28" s="219"/>
      <c r="B28" s="183"/>
      <c r="C28" s="230" t="s">
        <v>354</v>
      </c>
      <c r="D28" s="291"/>
      <c r="E28" s="230"/>
      <c r="G28" s="292"/>
      <c r="H28" s="293"/>
      <c r="I28" s="294"/>
      <c r="J28" s="295"/>
      <c r="K28" s="261"/>
      <c r="L28" s="261"/>
      <c r="M28" s="296"/>
    </row>
    <row r="29" spans="1:13" ht="16.5" thickBot="1">
      <c r="A29" s="219"/>
      <c r="B29" s="183"/>
      <c r="C29" s="230"/>
      <c r="D29" s="291"/>
      <c r="E29" s="230"/>
      <c r="G29" s="292"/>
      <c r="H29" s="293"/>
      <c r="I29" s="294"/>
      <c r="J29" s="295"/>
      <c r="K29" s="261"/>
      <c r="L29" s="261"/>
      <c r="M29" s="296"/>
    </row>
    <row r="30" spans="1:13">
      <c r="A30" s="269">
        <f>+A26+1</f>
        <v>111</v>
      </c>
      <c r="B30" s="270"/>
      <c r="C30" s="297" t="s">
        <v>355</v>
      </c>
      <c r="D30" s="298" t="s">
        <v>59</v>
      </c>
      <c r="E30" s="270" t="s">
        <v>294</v>
      </c>
      <c r="F30" s="299" t="s">
        <v>356</v>
      </c>
      <c r="G30" s="300" t="s">
        <v>357</v>
      </c>
      <c r="H30" s="301" t="s">
        <v>48</v>
      </c>
      <c r="I30" s="302"/>
      <c r="J30" s="276"/>
      <c r="K30" s="277"/>
      <c r="L30" s="277"/>
      <c r="M30" s="278"/>
    </row>
    <row r="31" spans="1:13">
      <c r="A31" s="219">
        <f>+A30+1</f>
        <v>112</v>
      </c>
      <c r="B31" s="183"/>
      <c r="C31" s="169" t="s">
        <v>296</v>
      </c>
      <c r="D31" s="224" t="s">
        <v>358</v>
      </c>
      <c r="E31" s="303">
        <v>2019</v>
      </c>
      <c r="F31" s="304">
        <v>0</v>
      </c>
      <c r="G31" s="305">
        <v>0</v>
      </c>
      <c r="H31" s="304">
        <v>0</v>
      </c>
      <c r="I31" s="293"/>
      <c r="J31" s="295"/>
      <c r="K31" s="261"/>
      <c r="L31" s="261"/>
      <c r="M31" s="296"/>
    </row>
    <row r="32" spans="1:13">
      <c r="A32" s="219">
        <f t="shared" ref="A32:A44" si="1">+A31+1</f>
        <v>113</v>
      </c>
      <c r="B32" s="183"/>
      <c r="C32" s="230" t="s">
        <v>298</v>
      </c>
      <c r="D32" s="169" t="s">
        <v>359</v>
      </c>
      <c r="E32" s="303">
        <v>2020</v>
      </c>
      <c r="F32" s="304">
        <v>0</v>
      </c>
      <c r="G32" s="305">
        <v>0</v>
      </c>
      <c r="H32" s="304">
        <v>0</v>
      </c>
      <c r="I32" s="293"/>
      <c r="J32" s="295"/>
      <c r="K32" s="261"/>
      <c r="L32" s="261"/>
      <c r="M32" s="296"/>
    </row>
    <row r="33" spans="1:13">
      <c r="A33" s="219">
        <f t="shared" si="1"/>
        <v>114</v>
      </c>
      <c r="B33" s="183"/>
      <c r="C33" s="230" t="s">
        <v>300</v>
      </c>
      <c r="D33" s="169" t="s">
        <v>359</v>
      </c>
      <c r="E33" s="303">
        <v>2020</v>
      </c>
      <c r="F33" s="304">
        <v>0</v>
      </c>
      <c r="G33" s="305">
        <v>0</v>
      </c>
      <c r="H33" s="304">
        <v>0</v>
      </c>
      <c r="I33" s="293"/>
      <c r="J33" s="295"/>
      <c r="K33" s="261"/>
      <c r="L33" s="261"/>
      <c r="M33" s="296"/>
    </row>
    <row r="34" spans="1:13">
      <c r="A34" s="219">
        <f t="shared" si="1"/>
        <v>115</v>
      </c>
      <c r="B34" s="183"/>
      <c r="C34" s="230" t="s">
        <v>301</v>
      </c>
      <c r="D34" s="169" t="s">
        <v>359</v>
      </c>
      <c r="E34" s="303">
        <v>2020</v>
      </c>
      <c r="F34" s="304">
        <v>0</v>
      </c>
      <c r="G34" s="305">
        <v>0</v>
      </c>
      <c r="H34" s="304">
        <v>0</v>
      </c>
      <c r="I34" s="293"/>
      <c r="J34" s="295"/>
      <c r="K34" s="261"/>
      <c r="L34" s="261"/>
      <c r="M34" s="296"/>
    </row>
    <row r="35" spans="1:13">
      <c r="A35" s="219">
        <f t="shared" si="1"/>
        <v>116</v>
      </c>
      <c r="B35" s="183"/>
      <c r="C35" s="230" t="s">
        <v>302</v>
      </c>
      <c r="D35" s="169" t="s">
        <v>359</v>
      </c>
      <c r="E35" s="303">
        <v>2020</v>
      </c>
      <c r="F35" s="304">
        <v>0</v>
      </c>
      <c r="G35" s="305">
        <v>0</v>
      </c>
      <c r="H35" s="304">
        <v>0</v>
      </c>
      <c r="I35" s="293"/>
      <c r="J35" s="306"/>
      <c r="K35" s="306"/>
      <c r="L35" s="306"/>
      <c r="M35" s="306"/>
    </row>
    <row r="36" spans="1:13">
      <c r="A36" s="219">
        <f t="shared" si="1"/>
        <v>117</v>
      </c>
      <c r="B36" s="183"/>
      <c r="C36" s="230" t="s">
        <v>303</v>
      </c>
      <c r="D36" s="169" t="s">
        <v>359</v>
      </c>
      <c r="E36" s="303">
        <v>2020</v>
      </c>
      <c r="F36" s="304">
        <v>0</v>
      </c>
      <c r="G36" s="305">
        <v>0</v>
      </c>
      <c r="H36" s="304">
        <v>0</v>
      </c>
      <c r="I36" s="293"/>
      <c r="J36" s="295"/>
      <c r="K36" s="261"/>
      <c r="L36" s="261"/>
      <c r="M36" s="296"/>
    </row>
    <row r="37" spans="1:13">
      <c r="A37" s="219">
        <f t="shared" si="1"/>
        <v>118</v>
      </c>
      <c r="B37" s="183"/>
      <c r="C37" s="230" t="s">
        <v>304</v>
      </c>
      <c r="D37" s="169" t="s">
        <v>359</v>
      </c>
      <c r="E37" s="303">
        <v>2020</v>
      </c>
      <c r="F37" s="304">
        <v>0</v>
      </c>
      <c r="G37" s="305">
        <v>0</v>
      </c>
      <c r="H37" s="304">
        <v>0</v>
      </c>
      <c r="I37" s="293"/>
      <c r="J37" s="295"/>
      <c r="K37" s="261"/>
      <c r="L37" s="261"/>
      <c r="M37" s="296"/>
    </row>
    <row r="38" spans="1:13">
      <c r="A38" s="219">
        <f t="shared" si="1"/>
        <v>119</v>
      </c>
      <c r="B38" s="183"/>
      <c r="C38" s="230" t="s">
        <v>305</v>
      </c>
      <c r="D38" s="169" t="s">
        <v>359</v>
      </c>
      <c r="E38" s="303">
        <v>2020</v>
      </c>
      <c r="F38" s="304">
        <v>0</v>
      </c>
      <c r="G38" s="305">
        <v>0</v>
      </c>
      <c r="H38" s="304">
        <v>0</v>
      </c>
      <c r="I38" s="293"/>
      <c r="J38" s="295"/>
      <c r="K38" s="261"/>
      <c r="L38" s="261"/>
      <c r="M38" s="296"/>
    </row>
    <row r="39" spans="1:13">
      <c r="A39" s="219">
        <f t="shared" si="1"/>
        <v>120</v>
      </c>
      <c r="B39" s="183"/>
      <c r="C39" s="230" t="s">
        <v>306</v>
      </c>
      <c r="D39" s="169" t="s">
        <v>359</v>
      </c>
      <c r="E39" s="303">
        <v>2020</v>
      </c>
      <c r="F39" s="304">
        <v>0</v>
      </c>
      <c r="G39" s="305">
        <v>0</v>
      </c>
      <c r="H39" s="304">
        <v>0</v>
      </c>
      <c r="I39" s="293"/>
      <c r="J39" s="295"/>
      <c r="K39" s="261"/>
      <c r="L39" s="261"/>
      <c r="M39" s="296"/>
    </row>
    <row r="40" spans="1:13">
      <c r="A40" s="219">
        <f t="shared" si="1"/>
        <v>121</v>
      </c>
      <c r="B40" s="183"/>
      <c r="C40" s="230" t="s">
        <v>307</v>
      </c>
      <c r="D40" s="169" t="s">
        <v>359</v>
      </c>
      <c r="E40" s="303">
        <v>2020</v>
      </c>
      <c r="F40" s="307">
        <v>0</v>
      </c>
      <c r="G40" s="308">
        <v>0</v>
      </c>
      <c r="H40" s="304">
        <v>0</v>
      </c>
      <c r="I40" s="293"/>
      <c r="J40" s="295"/>
      <c r="K40" s="261"/>
      <c r="L40" s="261"/>
      <c r="M40" s="296"/>
    </row>
    <row r="41" spans="1:13">
      <c r="A41" s="219">
        <f t="shared" si="1"/>
        <v>122</v>
      </c>
      <c r="B41" s="183"/>
      <c r="C41" s="230" t="s">
        <v>308</v>
      </c>
      <c r="D41" s="169" t="s">
        <v>359</v>
      </c>
      <c r="E41" s="303">
        <v>2020</v>
      </c>
      <c r="F41" s="307">
        <v>0</v>
      </c>
      <c r="G41" s="308">
        <v>0</v>
      </c>
      <c r="H41" s="304">
        <v>0</v>
      </c>
      <c r="I41" s="293"/>
      <c r="J41" s="295"/>
      <c r="K41" s="261"/>
      <c r="L41" s="261"/>
      <c r="M41" s="296"/>
    </row>
    <row r="42" spans="1:13">
      <c r="A42" s="219">
        <f t="shared" si="1"/>
        <v>123</v>
      </c>
      <c r="B42" s="183"/>
      <c r="C42" s="230" t="s">
        <v>309</v>
      </c>
      <c r="D42" s="169" t="s">
        <v>359</v>
      </c>
      <c r="E42" s="303">
        <v>2020</v>
      </c>
      <c r="F42" s="307">
        <v>0</v>
      </c>
      <c r="G42" s="308">
        <v>0</v>
      </c>
      <c r="H42" s="304">
        <v>0</v>
      </c>
      <c r="I42" s="293"/>
      <c r="J42" s="295"/>
      <c r="K42" s="261"/>
      <c r="L42" s="261"/>
      <c r="M42" s="296"/>
    </row>
    <row r="43" spans="1:13">
      <c r="A43" s="219">
        <f t="shared" si="1"/>
        <v>124</v>
      </c>
      <c r="B43" s="183"/>
      <c r="C43" s="232" t="s">
        <v>296</v>
      </c>
      <c r="D43" s="233" t="s">
        <v>360</v>
      </c>
      <c r="E43" s="309">
        <v>2020</v>
      </c>
      <c r="F43" s="310">
        <v>0</v>
      </c>
      <c r="G43" s="311">
        <v>0</v>
      </c>
      <c r="H43" s="312">
        <v>0</v>
      </c>
      <c r="I43" s="293"/>
      <c r="J43" s="295"/>
      <c r="K43" s="261"/>
      <c r="L43" s="261"/>
      <c r="M43" s="296"/>
    </row>
    <row r="44" spans="1:13">
      <c r="A44" s="219">
        <f t="shared" si="1"/>
        <v>125</v>
      </c>
      <c r="B44" s="183"/>
      <c r="C44" s="237" t="s">
        <v>361</v>
      </c>
      <c r="D44" s="169" t="str">
        <f>"(sum lines "&amp;A31&amp;"-"&amp;A43&amp;") /13"</f>
        <v>(sum lines 112-124) /13</v>
      </c>
      <c r="E44" s="238"/>
      <c r="F44" s="260">
        <f>SUM(F31:F43)/13</f>
        <v>0</v>
      </c>
      <c r="G44" s="313">
        <f>SUM(G31:G43)/13</f>
        <v>0</v>
      </c>
      <c r="H44" s="260">
        <f>SUM(H31:H43)/13</f>
        <v>0</v>
      </c>
      <c r="I44" s="293"/>
      <c r="J44" s="295"/>
      <c r="K44" s="261"/>
      <c r="L44" s="261"/>
      <c r="M44" s="296"/>
    </row>
    <row r="45" spans="1:13">
      <c r="A45" s="219"/>
      <c r="B45" s="183"/>
      <c r="C45" s="237"/>
      <c r="E45" s="238"/>
      <c r="F45" s="260"/>
      <c r="G45" s="313"/>
      <c r="H45" s="260"/>
      <c r="I45" s="293"/>
      <c r="J45" s="295"/>
      <c r="K45" s="261"/>
      <c r="L45" s="261"/>
      <c r="M45" s="296"/>
    </row>
    <row r="46" spans="1:13" ht="16.5" thickBot="1">
      <c r="A46" s="250"/>
      <c r="B46" s="251"/>
      <c r="C46" s="314" t="s">
        <v>362</v>
      </c>
      <c r="D46" s="315"/>
      <c r="E46" s="252"/>
      <c r="F46" s="253"/>
      <c r="G46" s="316"/>
      <c r="H46" s="317"/>
      <c r="I46" s="318"/>
      <c r="J46" s="319"/>
      <c r="K46" s="320"/>
      <c r="L46" s="320"/>
      <c r="M46" s="321"/>
    </row>
    <row r="47" spans="1:13">
      <c r="A47" s="219"/>
      <c r="B47" s="183"/>
      <c r="C47" s="237"/>
      <c r="D47" s="291"/>
      <c r="E47" s="230"/>
      <c r="F47" s="244"/>
      <c r="G47" s="322"/>
      <c r="H47" s="293"/>
      <c r="I47" s="294"/>
      <c r="J47" s="295"/>
      <c r="K47" s="261"/>
      <c r="L47" s="261"/>
      <c r="M47" s="296"/>
    </row>
    <row r="48" spans="1:13" ht="16.5" thickBot="1">
      <c r="A48" s="250"/>
      <c r="B48" s="253"/>
      <c r="C48" s="253"/>
      <c r="D48" s="253"/>
      <c r="E48" s="253"/>
      <c r="F48" s="323"/>
      <c r="G48" s="324"/>
      <c r="H48" s="317"/>
      <c r="I48" s="318"/>
      <c r="J48" s="325"/>
      <c r="K48" s="325"/>
      <c r="L48" s="325"/>
      <c r="M48" s="326"/>
    </row>
    <row r="49" spans="1:13" ht="16.5" thickBot="1">
      <c r="A49" s="212" t="str">
        <f>+C51</f>
        <v>LAND HELD FOR FUTURE USE</v>
      </c>
    </row>
    <row r="50" spans="1:13" ht="50.25" customHeight="1">
      <c r="A50" s="327" t="s">
        <v>292</v>
      </c>
      <c r="B50" s="328"/>
      <c r="C50" s="328"/>
      <c r="D50" s="328"/>
      <c r="E50" s="328"/>
      <c r="F50" s="328"/>
      <c r="G50" s="329" t="s">
        <v>363</v>
      </c>
      <c r="H50" s="330"/>
      <c r="I50" s="330"/>
      <c r="J50" s="331"/>
      <c r="K50" s="332"/>
      <c r="L50" s="332"/>
      <c r="M50" s="333"/>
    </row>
    <row r="51" spans="1:13">
      <c r="A51" s="219">
        <f>+A44+1</f>
        <v>126</v>
      </c>
      <c r="B51" s="183"/>
      <c r="C51" s="237" t="str">
        <f>+'Appendix III'!C89</f>
        <v>LAND HELD FOR FUTURE USE</v>
      </c>
      <c r="D51" s="291"/>
      <c r="E51" s="230" t="s">
        <v>364</v>
      </c>
      <c r="G51" s="334">
        <f>+'10 - Future Use'!E18</f>
        <v>0</v>
      </c>
      <c r="H51" s="260"/>
      <c r="I51" s="294"/>
      <c r="J51" s="295"/>
      <c r="K51" s="261"/>
      <c r="L51" s="261"/>
      <c r="M51" s="296"/>
    </row>
    <row r="52" spans="1:13">
      <c r="A52" s="219"/>
      <c r="B52" s="335"/>
      <c r="C52" s="335"/>
      <c r="D52" s="335"/>
      <c r="G52" s="336"/>
      <c r="H52" s="260"/>
      <c r="I52" s="294"/>
      <c r="J52" s="295"/>
      <c r="K52" s="261"/>
      <c r="L52" s="261"/>
      <c r="M52" s="296"/>
    </row>
    <row r="53" spans="1:13" ht="16.5" thickBot="1">
      <c r="A53" s="250" t="s">
        <v>365</v>
      </c>
      <c r="B53" s="253"/>
      <c r="C53" s="314" t="s">
        <v>366</v>
      </c>
      <c r="D53" s="253"/>
      <c r="E53" s="253"/>
      <c r="F53" s="337"/>
      <c r="G53" s="338" t="s">
        <v>367</v>
      </c>
      <c r="H53" s="339"/>
      <c r="I53" s="339"/>
      <c r="J53" s="339"/>
      <c r="K53" s="339"/>
      <c r="L53" s="339"/>
      <c r="M53" s="340"/>
    </row>
    <row r="54" spans="1:13">
      <c r="B54" s="183"/>
      <c r="C54" s="237"/>
      <c r="D54" s="291"/>
      <c r="E54" s="247"/>
      <c r="F54" s="230"/>
      <c r="G54" s="341"/>
      <c r="H54" s="341"/>
      <c r="I54" s="341"/>
      <c r="J54" s="261"/>
      <c r="K54" s="261"/>
      <c r="L54" s="261"/>
      <c r="M54" s="261"/>
    </row>
    <row r="55" spans="1:13" ht="12" customHeight="1"/>
    <row r="56" spans="1:13" ht="16.5" thickBot="1">
      <c r="A56" s="212" t="s">
        <v>368</v>
      </c>
    </row>
    <row r="57" spans="1:13">
      <c r="A57" s="327"/>
      <c r="B57" s="328"/>
      <c r="C57" s="328"/>
      <c r="D57" s="328"/>
      <c r="E57" s="328"/>
      <c r="F57" s="328"/>
      <c r="G57" s="330"/>
      <c r="H57" s="330"/>
      <c r="I57" s="330"/>
      <c r="J57" s="331"/>
      <c r="K57" s="342"/>
      <c r="L57" s="342"/>
      <c r="M57" s="343"/>
    </row>
    <row r="58" spans="1:13">
      <c r="A58" s="219">
        <f>+A51+1</f>
        <v>127</v>
      </c>
      <c r="B58" s="173"/>
      <c r="D58" s="344"/>
      <c r="F58" s="345"/>
      <c r="G58" s="261"/>
      <c r="J58" s="346"/>
      <c r="K58" s="347"/>
      <c r="L58" s="347"/>
      <c r="M58" s="348"/>
    </row>
    <row r="59" spans="1:13">
      <c r="A59" s="219"/>
      <c r="B59" s="349"/>
      <c r="C59" s="350" t="s">
        <v>369</v>
      </c>
      <c r="D59" s="351"/>
      <c r="E59" s="351"/>
      <c r="F59" s="351"/>
      <c r="G59" s="351"/>
      <c r="H59" s="351"/>
      <c r="I59" s="352"/>
      <c r="J59" s="352"/>
      <c r="K59" s="24"/>
      <c r="L59" s="24"/>
      <c r="M59" s="353"/>
    </row>
    <row r="60" spans="1:13">
      <c r="A60" s="219"/>
      <c r="B60" s="349"/>
      <c r="C60" s="354" t="s">
        <v>174</v>
      </c>
      <c r="D60" s="354" t="s">
        <v>370</v>
      </c>
      <c r="E60" s="354"/>
      <c r="F60" s="354"/>
      <c r="G60" s="354"/>
      <c r="H60" s="354"/>
      <c r="I60" s="354"/>
      <c r="J60" s="354"/>
      <c r="K60" s="24"/>
      <c r="L60" s="24"/>
      <c r="M60" s="353"/>
    </row>
    <row r="61" spans="1:13">
      <c r="A61" s="219"/>
      <c r="B61" s="349"/>
      <c r="C61" s="355" t="s">
        <v>371</v>
      </c>
      <c r="D61" s="356" t="s">
        <v>372</v>
      </c>
      <c r="E61" s="357"/>
      <c r="F61" s="357"/>
      <c r="G61" s="357"/>
      <c r="H61" s="357"/>
      <c r="I61" s="356"/>
      <c r="K61" s="24"/>
      <c r="L61" s="24"/>
      <c r="M61" s="353"/>
    </row>
    <row r="62" spans="1:13">
      <c r="A62" s="219"/>
      <c r="B62" s="349"/>
      <c r="C62" s="358" t="s">
        <v>373</v>
      </c>
      <c r="D62" s="359">
        <f>+'7 - Unfunded Reserves'!W8</f>
        <v>0</v>
      </c>
      <c r="E62" s="360"/>
      <c r="F62" s="360"/>
      <c r="G62" s="361"/>
      <c r="H62" s="361"/>
      <c r="I62" s="360"/>
      <c r="K62" s="24"/>
      <c r="L62" s="24"/>
      <c r="M62" s="353"/>
    </row>
    <row r="63" spans="1:13">
      <c r="A63" s="219"/>
      <c r="B63" s="349"/>
      <c r="C63" s="358" t="s">
        <v>374</v>
      </c>
      <c r="D63" s="359">
        <f>+'7 - Unfunded Reserves'!W9</f>
        <v>0</v>
      </c>
      <c r="E63" s="362"/>
      <c r="F63" s="360"/>
      <c r="G63" s="361"/>
      <c r="H63" s="361"/>
      <c r="I63" s="360"/>
      <c r="K63" s="24"/>
      <c r="L63" s="24"/>
      <c r="M63" s="353"/>
    </row>
    <row r="64" spans="1:13">
      <c r="A64" s="219"/>
      <c r="B64" s="349"/>
      <c r="C64" s="358" t="s">
        <v>375</v>
      </c>
      <c r="D64" s="359">
        <f>+'7 - Unfunded Reserves'!W10</f>
        <v>0</v>
      </c>
      <c r="E64" s="362"/>
      <c r="F64" s="360"/>
      <c r="G64" s="361"/>
      <c r="H64" s="361"/>
      <c r="I64" s="360"/>
      <c r="K64" s="24"/>
      <c r="L64" s="24"/>
      <c r="M64" s="353"/>
    </row>
    <row r="65" spans="1:13">
      <c r="A65" s="219"/>
      <c r="B65" s="349"/>
      <c r="C65" s="358" t="s">
        <v>376</v>
      </c>
      <c r="D65" s="359">
        <f>+'7 - Unfunded Reserves'!W11</f>
        <v>0</v>
      </c>
      <c r="E65" s="362"/>
      <c r="F65" s="360"/>
      <c r="G65" s="361"/>
      <c r="H65" s="361"/>
      <c r="I65" s="360"/>
      <c r="K65" s="24"/>
      <c r="L65" s="24"/>
      <c r="M65" s="353"/>
    </row>
    <row r="66" spans="1:13">
      <c r="A66" s="219"/>
      <c r="B66" s="349"/>
      <c r="C66" s="358" t="s">
        <v>259</v>
      </c>
      <c r="D66" s="359">
        <f>+'7 - Unfunded Reserves'!W12</f>
        <v>0</v>
      </c>
      <c r="E66" s="362"/>
      <c r="F66" s="360"/>
      <c r="G66" s="361"/>
      <c r="H66" s="361"/>
      <c r="I66" s="360"/>
      <c r="K66" s="24"/>
      <c r="L66" s="24"/>
      <c r="M66" s="353"/>
    </row>
    <row r="67" spans="1:13">
      <c r="A67" s="219"/>
      <c r="B67" s="349"/>
      <c r="C67" s="363" t="s">
        <v>259</v>
      </c>
      <c r="D67" s="364">
        <f>+'7 - Unfunded Reserves'!W13</f>
        <v>0</v>
      </c>
      <c r="E67" s="362"/>
      <c r="F67" s="360"/>
      <c r="G67" s="361"/>
      <c r="H67" s="361"/>
      <c r="I67" s="360"/>
      <c r="K67" s="24"/>
      <c r="L67" s="24"/>
      <c r="M67" s="353"/>
    </row>
    <row r="68" spans="1:13">
      <c r="A68" s="219" t="s">
        <v>377</v>
      </c>
      <c r="B68" s="349"/>
      <c r="C68" s="365" t="s">
        <v>378</v>
      </c>
      <c r="D68" s="359">
        <f>SUM(D62:D67)</f>
        <v>0</v>
      </c>
      <c r="E68" s="362">
        <f>SUM(E62:E67)</f>
        <v>0</v>
      </c>
      <c r="F68" s="360"/>
      <c r="G68" s="361"/>
      <c r="H68" s="361"/>
      <c r="I68" s="360"/>
      <c r="K68" s="24"/>
      <c r="L68" s="24"/>
      <c r="M68" s="353"/>
    </row>
    <row r="69" spans="1:13">
      <c r="A69" s="219"/>
      <c r="B69" s="366"/>
      <c r="C69" s="367"/>
      <c r="D69" s="368"/>
      <c r="E69" s="368"/>
      <c r="F69" s="368"/>
      <c r="G69" s="368"/>
      <c r="H69" s="368"/>
      <c r="I69" s="352"/>
      <c r="J69" s="352"/>
      <c r="K69" s="24"/>
      <c r="L69" s="24"/>
      <c r="M69" s="353"/>
    </row>
    <row r="70" spans="1:13">
      <c r="A70" s="219"/>
      <c r="B70" s="24"/>
      <c r="C70" s="67"/>
      <c r="E70" s="369"/>
      <c r="F70" s="369"/>
      <c r="G70" s="369"/>
      <c r="H70" s="370"/>
      <c r="I70" s="24"/>
      <c r="J70" s="24"/>
      <c r="K70" s="24"/>
      <c r="L70" s="24"/>
      <c r="M70" s="353"/>
    </row>
    <row r="71" spans="1:13" ht="16.5" thickBot="1">
      <c r="B71" s="24"/>
      <c r="C71" s="230"/>
      <c r="D71" s="24"/>
      <c r="F71" s="230"/>
      <c r="G71" s="371"/>
      <c r="H71" s="371"/>
      <c r="I71" s="24"/>
      <c r="J71" s="24"/>
      <c r="K71" s="24"/>
      <c r="L71" s="24"/>
      <c r="M71" s="24"/>
    </row>
    <row r="72" spans="1:13">
      <c r="A72" s="372" t="s">
        <v>379</v>
      </c>
      <c r="B72" s="298"/>
      <c r="C72" s="298"/>
      <c r="D72" s="298"/>
      <c r="E72" s="298"/>
      <c r="F72" s="298"/>
      <c r="G72" s="298"/>
      <c r="H72" s="298"/>
      <c r="I72" s="298"/>
      <c r="J72" s="298"/>
      <c r="K72" s="298"/>
      <c r="L72" s="298"/>
      <c r="M72" s="373"/>
    </row>
    <row r="73" spans="1:13">
      <c r="A73" s="374" t="s">
        <v>292</v>
      </c>
      <c r="B73" s="375"/>
      <c r="C73" s="375"/>
      <c r="D73" s="375"/>
      <c r="E73" s="375"/>
      <c r="F73" s="375"/>
      <c r="G73" s="376"/>
      <c r="H73" s="376"/>
      <c r="I73" s="376"/>
      <c r="J73" s="377" t="s">
        <v>339</v>
      </c>
      <c r="K73" s="347"/>
      <c r="L73" s="347"/>
      <c r="M73" s="348"/>
    </row>
    <row r="74" spans="1:13">
      <c r="A74" s="219"/>
      <c r="B74" s="173" t="s">
        <v>380</v>
      </c>
      <c r="E74" s="341"/>
      <c r="J74" s="346"/>
      <c r="K74" s="347"/>
      <c r="L74" s="347"/>
      <c r="M74" s="348"/>
    </row>
    <row r="75" spans="1:13">
      <c r="A75" s="219"/>
      <c r="B75" s="24"/>
      <c r="C75" s="24"/>
      <c r="D75" s="169" t="s">
        <v>3</v>
      </c>
      <c r="E75" s="341" t="s">
        <v>381</v>
      </c>
      <c r="F75" s="183"/>
      <c r="G75" s="183" t="s">
        <v>382</v>
      </c>
      <c r="H75" s="261"/>
      <c r="I75" s="24"/>
      <c r="J75" s="24"/>
      <c r="K75" s="24"/>
      <c r="L75" s="24"/>
      <c r="M75" s="353"/>
    </row>
    <row r="76" spans="1:13">
      <c r="A76" s="219">
        <f>+A58+1</f>
        <v>128</v>
      </c>
      <c r="B76" s="24"/>
      <c r="C76" s="230" t="s">
        <v>383</v>
      </c>
      <c r="D76" s="24"/>
      <c r="E76" s="230" t="s">
        <v>384</v>
      </c>
      <c r="F76" s="230"/>
      <c r="G76" s="378"/>
      <c r="H76" s="371"/>
      <c r="I76" s="24"/>
      <c r="J76" s="24"/>
      <c r="K76" s="24"/>
      <c r="L76" s="24"/>
      <c r="M76" s="353"/>
    </row>
    <row r="77" spans="1:13">
      <c r="A77" s="219"/>
      <c r="B77" s="24"/>
      <c r="C77" s="230"/>
      <c r="D77" s="24"/>
      <c r="E77" s="230"/>
      <c r="F77" s="230"/>
      <c r="G77" s="371"/>
      <c r="H77" s="371"/>
      <c r="I77" s="24"/>
      <c r="J77" s="24"/>
      <c r="K77" s="24"/>
      <c r="L77" s="24"/>
      <c r="M77" s="353"/>
    </row>
    <row r="78" spans="1:13">
      <c r="A78" s="219" t="s">
        <v>385</v>
      </c>
      <c r="B78" s="24"/>
      <c r="C78" s="24" t="s">
        <v>386</v>
      </c>
      <c r="G78" s="205"/>
      <c r="I78" s="24"/>
      <c r="J78" s="24"/>
      <c r="K78" s="24"/>
      <c r="L78" s="24"/>
      <c r="M78" s="353"/>
    </row>
    <row r="79" spans="1:13">
      <c r="A79" s="219"/>
      <c r="B79" s="24"/>
      <c r="C79" s="379"/>
      <c r="G79" s="205"/>
      <c r="I79" s="24"/>
      <c r="J79" s="24"/>
      <c r="K79" s="24"/>
      <c r="L79" s="24"/>
      <c r="M79" s="353"/>
    </row>
    <row r="80" spans="1:13">
      <c r="A80" s="219"/>
      <c r="B80" s="24"/>
      <c r="C80" s="379"/>
      <c r="G80" s="205"/>
      <c r="I80" s="24"/>
      <c r="J80" s="24"/>
      <c r="K80" s="24"/>
      <c r="L80" s="24"/>
      <c r="M80" s="353"/>
    </row>
    <row r="81" spans="1:13">
      <c r="A81" s="219"/>
      <c r="B81" s="24"/>
      <c r="C81" s="379"/>
      <c r="G81" s="205"/>
      <c r="I81" s="24"/>
      <c r="J81" s="24"/>
      <c r="K81" s="24"/>
      <c r="L81" s="24"/>
      <c r="M81" s="353"/>
    </row>
    <row r="82" spans="1:13">
      <c r="A82" s="219"/>
      <c r="B82" s="24"/>
      <c r="C82" s="379"/>
      <c r="G82" s="205"/>
      <c r="I82" s="24"/>
      <c r="J82" s="24"/>
      <c r="K82" s="24"/>
      <c r="L82" s="24"/>
      <c r="M82" s="353"/>
    </row>
    <row r="83" spans="1:13" ht="16.5" thickBot="1">
      <c r="A83" s="250"/>
      <c r="B83" s="253"/>
      <c r="C83" s="253"/>
      <c r="D83" s="253"/>
      <c r="E83" s="253"/>
      <c r="F83" s="253"/>
      <c r="G83" s="253"/>
      <c r="H83" s="253"/>
      <c r="I83" s="253"/>
      <c r="J83" s="253"/>
      <c r="K83" s="253"/>
      <c r="L83" s="253"/>
      <c r="M83" s="380"/>
    </row>
    <row r="85" spans="1:13" s="383" customFormat="1" ht="16.5" thickBot="1">
      <c r="A85" s="381" t="s">
        <v>387</v>
      </c>
      <c r="B85" s="382"/>
      <c r="C85" s="382"/>
      <c r="D85" s="382"/>
      <c r="E85" s="382"/>
      <c r="F85" s="382"/>
      <c r="G85" s="382"/>
      <c r="H85" s="382"/>
      <c r="I85" s="382"/>
      <c r="J85" s="382"/>
      <c r="K85" s="382"/>
      <c r="L85" s="382"/>
      <c r="M85" s="382"/>
    </row>
    <row r="86" spans="1:13" s="383" customFormat="1" ht="47.25">
      <c r="A86" s="384" t="s">
        <v>292</v>
      </c>
      <c r="B86" s="385"/>
      <c r="C86" s="385"/>
      <c r="D86" s="385"/>
      <c r="E86" s="385"/>
      <c r="F86" s="385"/>
      <c r="G86" s="386" t="s">
        <v>388</v>
      </c>
      <c r="H86" s="276" t="s">
        <v>389</v>
      </c>
      <c r="I86" s="276" t="s">
        <v>390</v>
      </c>
      <c r="J86" s="387" t="s">
        <v>391</v>
      </c>
      <c r="K86" s="332"/>
      <c r="L86" s="332"/>
      <c r="M86" s="333"/>
    </row>
    <row r="87" spans="1:13" s="383" customFormat="1">
      <c r="A87" s="219"/>
      <c r="B87" s="173" t="s">
        <v>392</v>
      </c>
      <c r="C87" s="230"/>
      <c r="D87" s="169"/>
      <c r="E87" s="238"/>
      <c r="F87" s="230"/>
      <c r="G87" s="388" t="s">
        <v>186</v>
      </c>
      <c r="H87" s="389" t="s">
        <v>188</v>
      </c>
      <c r="I87" s="390" t="s">
        <v>190</v>
      </c>
      <c r="J87" s="169"/>
      <c r="K87" s="169"/>
      <c r="L87" s="169"/>
      <c r="M87" s="244"/>
    </row>
    <row r="88" spans="1:13" s="383" customFormat="1">
      <c r="A88" s="219"/>
      <c r="B88" s="173"/>
      <c r="C88" s="230"/>
      <c r="D88" s="169"/>
      <c r="E88" s="238"/>
      <c r="F88" s="230"/>
      <c r="G88" s="388"/>
      <c r="H88" s="389"/>
      <c r="I88" s="390" t="s">
        <v>393</v>
      </c>
      <c r="J88" s="391"/>
      <c r="K88" s="169"/>
      <c r="L88" s="169"/>
      <c r="M88" s="244"/>
    </row>
    <row r="89" spans="1:13" s="383" customFormat="1">
      <c r="A89" s="219">
        <f>+A76+1</f>
        <v>129</v>
      </c>
      <c r="B89" s="287"/>
      <c r="C89" s="230" t="s">
        <v>394</v>
      </c>
      <c r="D89" s="247"/>
      <c r="E89" s="247"/>
      <c r="F89" s="230" t="s">
        <v>395</v>
      </c>
      <c r="G89" s="392">
        <v>0</v>
      </c>
      <c r="H89" s="393"/>
      <c r="I89" s="293">
        <f>+G89-H89</f>
        <v>0</v>
      </c>
      <c r="J89" s="169"/>
      <c r="K89" s="169"/>
      <c r="L89" s="169"/>
      <c r="M89" s="244"/>
    </row>
    <row r="90" spans="1:13" s="383" customFormat="1">
      <c r="A90" s="219"/>
      <c r="B90" s="173"/>
      <c r="C90" s="230"/>
      <c r="D90" s="169"/>
      <c r="E90" s="238"/>
      <c r="F90" s="230"/>
      <c r="G90" s="394" t="s">
        <v>396</v>
      </c>
      <c r="H90" s="389"/>
      <c r="I90" s="390"/>
      <c r="J90" s="169"/>
      <c r="K90" s="169"/>
      <c r="L90" s="169"/>
      <c r="M90" s="244"/>
    </row>
    <row r="91" spans="1:13" s="383" customFormat="1">
      <c r="A91" s="219"/>
      <c r="B91" s="173"/>
      <c r="C91" s="230"/>
      <c r="D91" s="169"/>
      <c r="E91" s="238"/>
      <c r="F91" s="230"/>
      <c r="G91" s="394" t="s">
        <v>397</v>
      </c>
      <c r="H91" s="389"/>
      <c r="I91" s="390"/>
      <c r="J91" s="169"/>
      <c r="K91" s="169"/>
      <c r="L91" s="169"/>
      <c r="M91" s="244"/>
    </row>
    <row r="92" spans="1:13" s="383" customFormat="1">
      <c r="A92" s="219"/>
      <c r="B92" s="173"/>
      <c r="C92" s="230"/>
      <c r="D92" s="169"/>
      <c r="E92" s="238"/>
      <c r="F92" s="230"/>
      <c r="G92" s="394"/>
      <c r="H92" s="389"/>
      <c r="I92" s="390"/>
      <c r="J92" s="169"/>
      <c r="K92" s="169"/>
      <c r="L92" s="169"/>
      <c r="M92" s="244"/>
    </row>
    <row r="93" spans="1:13" s="383" customFormat="1" ht="16.5" thickBot="1">
      <c r="A93" s="395"/>
      <c r="B93" s="253"/>
      <c r="C93" s="253"/>
      <c r="D93" s="253"/>
      <c r="E93" s="253"/>
      <c r="F93" s="253"/>
      <c r="G93" s="395" t="s">
        <v>398</v>
      </c>
      <c r="H93" s="253"/>
      <c r="I93" s="253"/>
      <c r="J93" s="325"/>
      <c r="K93" s="325"/>
      <c r="L93" s="325"/>
      <c r="M93" s="326"/>
    </row>
    <row r="96" spans="1:13" ht="16.5" thickBot="1">
      <c r="A96" s="212" t="s">
        <v>399</v>
      </c>
    </row>
    <row r="97" spans="1:13">
      <c r="A97" s="327" t="s">
        <v>292</v>
      </c>
      <c r="B97" s="328"/>
      <c r="C97" s="328"/>
      <c r="D97" s="328"/>
      <c r="E97" s="328"/>
      <c r="F97" s="396"/>
      <c r="G97" s="330" t="s">
        <v>400</v>
      </c>
      <c r="H97" s="330" t="s">
        <v>401</v>
      </c>
      <c r="I97" s="330" t="s">
        <v>402</v>
      </c>
      <c r="J97" s="330" t="s">
        <v>403</v>
      </c>
      <c r="K97" s="330" t="s">
        <v>404</v>
      </c>
      <c r="L97" s="331" t="s">
        <v>405</v>
      </c>
      <c r="M97" s="397"/>
    </row>
    <row r="98" spans="1:13">
      <c r="A98" s="219" t="s">
        <v>3</v>
      </c>
      <c r="B98" s="398" t="s">
        <v>406</v>
      </c>
      <c r="E98" s="341"/>
      <c r="F98" s="399"/>
      <c r="M98" s="244"/>
    </row>
    <row r="99" spans="1:13">
      <c r="A99" s="219"/>
      <c r="B99" s="398"/>
      <c r="E99" s="341"/>
      <c r="F99" s="399"/>
      <c r="G99" s="400"/>
      <c r="H99" s="401"/>
      <c r="I99" s="401"/>
      <c r="J99" s="401"/>
      <c r="K99" s="401"/>
      <c r="L99" s="390"/>
      <c r="M99" s="402"/>
    </row>
    <row r="100" spans="1:13">
      <c r="A100" s="219">
        <f>+A89+1</f>
        <v>130</v>
      </c>
      <c r="B100" s="398"/>
      <c r="C100" s="230" t="s">
        <v>407</v>
      </c>
      <c r="E100" s="341"/>
      <c r="F100" s="399"/>
      <c r="G100" s="403">
        <v>8.8400000000000006E-2</v>
      </c>
      <c r="H100" s="404"/>
      <c r="I100" s="405"/>
      <c r="J100" s="405"/>
      <c r="K100" s="406"/>
      <c r="L100" s="407">
        <f>+G100</f>
        <v>8.8400000000000006E-2</v>
      </c>
      <c r="M100" s="402"/>
    </row>
    <row r="101" spans="1:13" ht="16.5" thickBot="1">
      <c r="A101" s="395"/>
      <c r="B101" s="251"/>
      <c r="C101" s="253" t="s">
        <v>408</v>
      </c>
      <c r="D101" s="408"/>
      <c r="E101" s="254"/>
      <c r="F101" s="255"/>
      <c r="G101" s="253"/>
      <c r="H101" s="253"/>
      <c r="I101" s="253"/>
      <c r="J101" s="253"/>
      <c r="K101" s="253"/>
      <c r="L101" s="253"/>
      <c r="M101" s="409"/>
    </row>
    <row r="103" spans="1:13" ht="16.5" thickBot="1">
      <c r="A103" s="410" t="s">
        <v>409</v>
      </c>
    </row>
    <row r="104" spans="1:13" ht="78.75" customHeight="1">
      <c r="A104" s="411" t="s">
        <v>292</v>
      </c>
      <c r="B104" s="412"/>
      <c r="C104" s="412"/>
      <c r="D104" s="412"/>
      <c r="E104" s="412"/>
      <c r="F104" s="413"/>
      <c r="G104" s="414" t="s">
        <v>388</v>
      </c>
      <c r="H104" s="302" t="s">
        <v>410</v>
      </c>
      <c r="I104" s="302" t="s">
        <v>244</v>
      </c>
      <c r="J104" s="415" t="s">
        <v>339</v>
      </c>
      <c r="K104" s="415"/>
      <c r="L104" s="415"/>
      <c r="M104" s="416"/>
    </row>
    <row r="105" spans="1:13">
      <c r="A105" s="219"/>
      <c r="B105" s="173" t="s">
        <v>392</v>
      </c>
      <c r="E105" s="341"/>
      <c r="F105" s="244"/>
      <c r="G105" s="388" t="s">
        <v>186</v>
      </c>
      <c r="H105" s="390" t="s">
        <v>188</v>
      </c>
      <c r="I105" s="390" t="s">
        <v>190</v>
      </c>
      <c r="M105" s="244"/>
    </row>
    <row r="106" spans="1:13">
      <c r="A106" s="219"/>
      <c r="B106" s="173"/>
      <c r="E106" s="341"/>
      <c r="F106" s="244"/>
      <c r="G106" s="388"/>
      <c r="H106" s="390"/>
      <c r="I106" s="390" t="s">
        <v>393</v>
      </c>
      <c r="M106" s="244"/>
    </row>
    <row r="107" spans="1:13">
      <c r="A107" s="219">
        <f>+A100+1</f>
        <v>131</v>
      </c>
      <c r="B107" s="287"/>
      <c r="C107" s="230" t="s">
        <v>411</v>
      </c>
      <c r="E107" s="341"/>
      <c r="F107" s="242" t="s">
        <v>412</v>
      </c>
      <c r="G107" s="392">
        <v>0</v>
      </c>
      <c r="H107" s="393"/>
      <c r="I107" s="417">
        <f>G107-H107</f>
        <v>0</v>
      </c>
      <c r="M107" s="244"/>
    </row>
    <row r="108" spans="1:13">
      <c r="A108" s="219"/>
      <c r="B108" s="287"/>
      <c r="C108" s="230"/>
      <c r="E108" s="341"/>
      <c r="F108" s="242"/>
      <c r="G108" s="394" t="s">
        <v>413</v>
      </c>
      <c r="H108" s="260"/>
      <c r="I108" s="417"/>
      <c r="M108" s="244"/>
    </row>
    <row r="109" spans="1:13" ht="16.5" thickBot="1">
      <c r="A109" s="418"/>
      <c r="B109" s="419"/>
      <c r="C109" s="419"/>
      <c r="D109" s="253"/>
      <c r="E109" s="251"/>
      <c r="F109" s="420"/>
      <c r="G109" s="418" t="s">
        <v>414</v>
      </c>
      <c r="H109" s="419"/>
      <c r="I109" s="419"/>
      <c r="J109" s="421"/>
      <c r="K109" s="421"/>
      <c r="L109" s="421"/>
      <c r="M109" s="422"/>
    </row>
    <row r="111" spans="1:13" ht="16.5" thickBot="1">
      <c r="A111" s="212" t="s">
        <v>415</v>
      </c>
    </row>
    <row r="112" spans="1:13" ht="47.25">
      <c r="A112" s="327" t="s">
        <v>292</v>
      </c>
      <c r="B112" s="328"/>
      <c r="C112" s="328"/>
      <c r="D112" s="328"/>
      <c r="E112" s="328"/>
      <c r="F112" s="328"/>
      <c r="G112" s="329" t="str">
        <f>+C114</f>
        <v>Excluded Transmission Facilities</v>
      </c>
      <c r="H112" s="331" t="s">
        <v>416</v>
      </c>
      <c r="I112" s="423"/>
      <c r="J112" s="423"/>
      <c r="K112" s="423"/>
      <c r="L112" s="423"/>
      <c r="M112" s="424"/>
    </row>
    <row r="113" spans="1:13">
      <c r="A113" s="388"/>
      <c r="B113" s="237" t="s">
        <v>417</v>
      </c>
      <c r="C113" s="173"/>
      <c r="D113" s="173"/>
      <c r="E113" s="389"/>
      <c r="F113" s="425"/>
      <c r="G113" s="336"/>
      <c r="M113" s="244"/>
    </row>
    <row r="114" spans="1:13">
      <c r="A114" s="219">
        <f>+A107+1</f>
        <v>132</v>
      </c>
      <c r="B114" s="183"/>
      <c r="C114" s="230" t="s">
        <v>418</v>
      </c>
      <c r="D114" s="173"/>
      <c r="E114" s="247"/>
      <c r="F114" s="230"/>
      <c r="G114" s="426">
        <v>0</v>
      </c>
      <c r="H114" s="346" t="s">
        <v>419</v>
      </c>
      <c r="I114" s="347"/>
      <c r="J114" s="347"/>
      <c r="K114" s="347"/>
      <c r="L114" s="347"/>
      <c r="M114" s="348"/>
    </row>
    <row r="115" spans="1:13">
      <c r="A115" s="219" t="s">
        <v>420</v>
      </c>
      <c r="B115" s="183"/>
      <c r="C115" s="169" t="s">
        <v>421</v>
      </c>
      <c r="D115" s="173"/>
      <c r="E115" s="238"/>
      <c r="F115" s="224"/>
      <c r="G115" s="426">
        <v>0</v>
      </c>
      <c r="H115" s="346" t="s">
        <v>419</v>
      </c>
      <c r="I115" s="347"/>
      <c r="J115" s="347"/>
      <c r="K115" s="347"/>
      <c r="L115" s="347"/>
      <c r="M115" s="348"/>
    </row>
    <row r="116" spans="1:13" ht="16.5" thickBot="1">
      <c r="A116" s="250"/>
      <c r="B116" s="253"/>
      <c r="C116" s="253"/>
      <c r="D116" s="253"/>
      <c r="E116" s="253"/>
      <c r="F116" s="253"/>
      <c r="G116" s="395"/>
      <c r="H116" s="253"/>
      <c r="I116" s="253"/>
      <c r="J116" s="253"/>
      <c r="K116" s="427" t="s">
        <v>422</v>
      </c>
      <c r="L116" s="253"/>
      <c r="M116" s="380"/>
    </row>
    <row r="117" spans="1:13">
      <c r="K117" s="428"/>
    </row>
    <row r="118" spans="1:13">
      <c r="B118" s="183"/>
      <c r="C118" s="183"/>
      <c r="D118" s="183"/>
      <c r="E118" s="247"/>
      <c r="F118" s="183"/>
      <c r="K118" s="428"/>
    </row>
    <row r="119" spans="1:13" ht="16.5" thickBot="1">
      <c r="A119" s="212" t="s">
        <v>423</v>
      </c>
      <c r="F119" s="253"/>
    </row>
    <row r="120" spans="1:13">
      <c r="A120" s="429" t="s">
        <v>292</v>
      </c>
      <c r="B120" s="430"/>
      <c r="C120" s="430"/>
      <c r="D120" s="431"/>
      <c r="E120" s="431"/>
      <c r="F120" s="431"/>
      <c r="G120" s="330"/>
      <c r="H120" s="330"/>
      <c r="I120" s="330"/>
      <c r="J120" s="330"/>
      <c r="K120" s="330"/>
      <c r="L120" s="330"/>
      <c r="M120" s="432"/>
    </row>
    <row r="121" spans="1:13">
      <c r="A121" s="388"/>
      <c r="B121" s="237"/>
      <c r="C121" s="173"/>
      <c r="E121" s="390" t="s">
        <v>186</v>
      </c>
      <c r="F121" s="390" t="s">
        <v>188</v>
      </c>
      <c r="G121" s="390" t="s">
        <v>190</v>
      </c>
      <c r="H121" s="237"/>
      <c r="I121" s="224"/>
      <c r="K121" s="390"/>
      <c r="M121" s="244"/>
    </row>
    <row r="122" spans="1:13" ht="31.5">
      <c r="A122" s="219"/>
      <c r="C122" s="322" t="s">
        <v>424</v>
      </c>
      <c r="E122" s="261" t="s">
        <v>425</v>
      </c>
      <c r="F122" s="261" t="s">
        <v>426</v>
      </c>
      <c r="G122" s="261" t="s">
        <v>48</v>
      </c>
      <c r="H122" s="184"/>
      <c r="I122" s="322"/>
      <c r="J122" s="433"/>
      <c r="K122" s="434"/>
      <c r="L122" s="261"/>
      <c r="M122" s="296"/>
    </row>
    <row r="123" spans="1:13" ht="17.25" customHeight="1">
      <c r="A123" s="219"/>
      <c r="B123" s="183"/>
      <c r="C123" s="169" t="s">
        <v>427</v>
      </c>
      <c r="E123" s="183" t="s">
        <v>428</v>
      </c>
      <c r="F123" s="183" t="s">
        <v>429</v>
      </c>
      <c r="G123" s="390" t="s">
        <v>430</v>
      </c>
      <c r="H123" s="184"/>
      <c r="I123" s="322"/>
      <c r="J123" s="433"/>
      <c r="K123" s="434"/>
      <c r="L123" s="230"/>
      <c r="M123" s="435"/>
    </row>
    <row r="124" spans="1:13" ht="17.25" customHeight="1">
      <c r="A124" s="219">
        <f>+A114+1</f>
        <v>133</v>
      </c>
      <c r="B124" s="183"/>
      <c r="C124" s="169" t="s">
        <v>296</v>
      </c>
      <c r="D124" s="169" t="s">
        <v>431</v>
      </c>
      <c r="E124" s="436">
        <v>0</v>
      </c>
      <c r="F124" s="437">
        <v>0</v>
      </c>
      <c r="G124" s="185">
        <f>+E124+F124</f>
        <v>0</v>
      </c>
      <c r="H124" s="184"/>
      <c r="J124" s="433"/>
      <c r="K124" s="434"/>
      <c r="L124" s="230"/>
      <c r="M124" s="435"/>
    </row>
    <row r="125" spans="1:13" ht="17.25" customHeight="1">
      <c r="A125" s="219">
        <f>+A124+1</f>
        <v>134</v>
      </c>
      <c r="B125" s="183"/>
      <c r="C125" s="230" t="s">
        <v>298</v>
      </c>
      <c r="D125" s="169" t="s">
        <v>432</v>
      </c>
      <c r="E125" s="438">
        <v>0</v>
      </c>
      <c r="F125" s="304">
        <v>0</v>
      </c>
      <c r="G125" s="185">
        <f t="shared" ref="G125:G136" si="2">+E125+F125</f>
        <v>0</v>
      </c>
      <c r="H125" s="184"/>
      <c r="I125" s="322"/>
      <c r="J125" s="433"/>
      <c r="K125" s="434"/>
      <c r="L125" s="230"/>
      <c r="M125" s="435"/>
    </row>
    <row r="126" spans="1:13" ht="17.25" customHeight="1">
      <c r="A126" s="219">
        <f t="shared" ref="A126:A136" si="3">+A125+1</f>
        <v>135</v>
      </c>
      <c r="B126" s="183"/>
      <c r="C126" s="230" t="s">
        <v>300</v>
      </c>
      <c r="D126" s="169" t="s">
        <v>432</v>
      </c>
      <c r="E126" s="438">
        <v>0</v>
      </c>
      <c r="F126" s="304">
        <v>0</v>
      </c>
      <c r="G126" s="185">
        <f t="shared" si="2"/>
        <v>0</v>
      </c>
      <c r="H126" s="184"/>
      <c r="I126" s="322"/>
      <c r="J126" s="433"/>
      <c r="K126" s="434"/>
      <c r="L126" s="230"/>
      <c r="M126" s="435"/>
    </row>
    <row r="127" spans="1:13" ht="17.25" customHeight="1">
      <c r="A127" s="219">
        <f t="shared" si="3"/>
        <v>136</v>
      </c>
      <c r="B127" s="183"/>
      <c r="C127" s="230" t="s">
        <v>301</v>
      </c>
      <c r="D127" s="169" t="s">
        <v>432</v>
      </c>
      <c r="E127" s="438">
        <v>0</v>
      </c>
      <c r="F127" s="304">
        <v>0</v>
      </c>
      <c r="G127" s="185">
        <f t="shared" si="2"/>
        <v>0</v>
      </c>
      <c r="H127" s="184"/>
      <c r="I127" s="322"/>
      <c r="J127" s="433"/>
      <c r="K127" s="434"/>
      <c r="L127" s="230"/>
      <c r="M127" s="435"/>
    </row>
    <row r="128" spans="1:13" ht="17.25" customHeight="1">
      <c r="A128" s="219">
        <f t="shared" si="3"/>
        <v>137</v>
      </c>
      <c r="B128" s="183"/>
      <c r="C128" s="230" t="s">
        <v>302</v>
      </c>
      <c r="D128" s="169" t="s">
        <v>432</v>
      </c>
      <c r="E128" s="438">
        <v>0</v>
      </c>
      <c r="F128" s="304">
        <v>0</v>
      </c>
      <c r="G128" s="185">
        <f t="shared" si="2"/>
        <v>0</v>
      </c>
      <c r="H128" s="184"/>
      <c r="I128" s="322"/>
      <c r="J128" s="433"/>
      <c r="K128" s="434"/>
      <c r="L128" s="230"/>
      <c r="M128" s="435"/>
    </row>
    <row r="129" spans="1:13" ht="17.25" customHeight="1">
      <c r="A129" s="219">
        <f t="shared" si="3"/>
        <v>138</v>
      </c>
      <c r="B129" s="183"/>
      <c r="C129" s="230" t="s">
        <v>303</v>
      </c>
      <c r="D129" s="169" t="s">
        <v>432</v>
      </c>
      <c r="E129" s="438">
        <v>0</v>
      </c>
      <c r="F129" s="304">
        <v>0</v>
      </c>
      <c r="G129" s="185">
        <f t="shared" si="2"/>
        <v>0</v>
      </c>
      <c r="H129" s="184"/>
      <c r="I129" s="322"/>
      <c r="J129" s="433"/>
      <c r="K129" s="434"/>
      <c r="L129" s="230"/>
      <c r="M129" s="435"/>
    </row>
    <row r="130" spans="1:13" ht="17.25" customHeight="1">
      <c r="A130" s="219">
        <f t="shared" si="3"/>
        <v>139</v>
      </c>
      <c r="B130" s="183"/>
      <c r="C130" s="230" t="s">
        <v>304</v>
      </c>
      <c r="D130" s="169" t="s">
        <v>432</v>
      </c>
      <c r="E130" s="438">
        <v>0</v>
      </c>
      <c r="F130" s="304">
        <v>0</v>
      </c>
      <c r="G130" s="185">
        <f t="shared" si="2"/>
        <v>0</v>
      </c>
      <c r="H130" s="184"/>
      <c r="I130" s="322"/>
      <c r="J130" s="433"/>
      <c r="K130" s="434"/>
      <c r="L130" s="230"/>
      <c r="M130" s="435"/>
    </row>
    <row r="131" spans="1:13" ht="17.25" customHeight="1">
      <c r="A131" s="219">
        <f t="shared" si="3"/>
        <v>140</v>
      </c>
      <c r="B131" s="183"/>
      <c r="C131" s="230" t="s">
        <v>305</v>
      </c>
      <c r="D131" s="169" t="s">
        <v>432</v>
      </c>
      <c r="E131" s="438">
        <v>0</v>
      </c>
      <c r="F131" s="304">
        <v>0</v>
      </c>
      <c r="G131" s="185">
        <f t="shared" si="2"/>
        <v>0</v>
      </c>
      <c r="H131" s="184"/>
      <c r="I131" s="322"/>
      <c r="J131" s="433"/>
      <c r="K131" s="434"/>
      <c r="L131" s="230"/>
      <c r="M131" s="435"/>
    </row>
    <row r="132" spans="1:13" ht="17.25" customHeight="1">
      <c r="A132" s="219">
        <f t="shared" si="3"/>
        <v>141</v>
      </c>
      <c r="B132" s="183"/>
      <c r="C132" s="230" t="s">
        <v>306</v>
      </c>
      <c r="D132" s="169" t="s">
        <v>432</v>
      </c>
      <c r="E132" s="438">
        <v>0</v>
      </c>
      <c r="F132" s="304">
        <v>0</v>
      </c>
      <c r="G132" s="185">
        <f t="shared" si="2"/>
        <v>0</v>
      </c>
      <c r="H132" s="184"/>
      <c r="I132" s="322"/>
      <c r="J132" s="433"/>
      <c r="K132" s="434"/>
      <c r="L132" s="230"/>
      <c r="M132" s="435"/>
    </row>
    <row r="133" spans="1:13" ht="17.25" customHeight="1">
      <c r="A133" s="219">
        <f t="shared" si="3"/>
        <v>142</v>
      </c>
      <c r="B133" s="183"/>
      <c r="C133" s="230" t="s">
        <v>307</v>
      </c>
      <c r="D133" s="169" t="s">
        <v>432</v>
      </c>
      <c r="E133" s="438">
        <v>0</v>
      </c>
      <c r="F133" s="304">
        <v>0</v>
      </c>
      <c r="G133" s="185">
        <f t="shared" si="2"/>
        <v>0</v>
      </c>
      <c r="H133" s="184"/>
      <c r="I133" s="322"/>
      <c r="J133" s="433"/>
      <c r="K133" s="434"/>
      <c r="L133" s="230"/>
      <c r="M133" s="435"/>
    </row>
    <row r="134" spans="1:13">
      <c r="A134" s="219">
        <f t="shared" si="3"/>
        <v>143</v>
      </c>
      <c r="B134" s="183"/>
      <c r="C134" s="230" t="s">
        <v>308</v>
      </c>
      <c r="D134" s="169" t="s">
        <v>432</v>
      </c>
      <c r="E134" s="438">
        <v>0</v>
      </c>
      <c r="F134" s="304">
        <v>0</v>
      </c>
      <c r="G134" s="185">
        <f t="shared" si="2"/>
        <v>0</v>
      </c>
      <c r="H134" s="184"/>
      <c r="I134" s="322"/>
      <c r="J134" s="433"/>
      <c r="K134" s="434"/>
      <c r="L134" s="230"/>
      <c r="M134" s="435"/>
    </row>
    <row r="135" spans="1:13" ht="17.25" customHeight="1">
      <c r="A135" s="219">
        <f t="shared" si="3"/>
        <v>144</v>
      </c>
      <c r="B135" s="183"/>
      <c r="C135" s="230" t="s">
        <v>309</v>
      </c>
      <c r="D135" s="169" t="s">
        <v>432</v>
      </c>
      <c r="E135" s="438">
        <v>0</v>
      </c>
      <c r="F135" s="304">
        <v>0</v>
      </c>
      <c r="G135" s="185">
        <f t="shared" si="2"/>
        <v>0</v>
      </c>
      <c r="H135" s="184"/>
      <c r="I135" s="322"/>
      <c r="J135" s="433"/>
      <c r="K135" s="434"/>
      <c r="L135" s="230"/>
      <c r="M135" s="435"/>
    </row>
    <row r="136" spans="1:13" ht="17.25" customHeight="1">
      <c r="A136" s="219">
        <f t="shared" si="3"/>
        <v>145</v>
      </c>
      <c r="B136" s="183"/>
      <c r="C136" s="230" t="s">
        <v>296</v>
      </c>
      <c r="D136" s="169" t="s">
        <v>433</v>
      </c>
      <c r="E136" s="438">
        <v>0</v>
      </c>
      <c r="F136" s="304">
        <v>0</v>
      </c>
      <c r="G136" s="185">
        <f t="shared" si="2"/>
        <v>0</v>
      </c>
      <c r="H136" s="184"/>
      <c r="I136" s="322"/>
      <c r="J136" s="433"/>
      <c r="K136" s="434"/>
      <c r="M136" s="435"/>
    </row>
    <row r="137" spans="1:13" ht="17.25" customHeight="1">
      <c r="A137" s="219"/>
      <c r="B137" s="183"/>
      <c r="C137" s="230"/>
      <c r="E137" s="241"/>
      <c r="F137" s="181"/>
      <c r="G137" s="181"/>
      <c r="H137" s="185"/>
      <c r="I137" s="322"/>
      <c r="J137" s="433"/>
      <c r="K137" s="434"/>
      <c r="M137" s="435"/>
    </row>
    <row r="138" spans="1:13" ht="16.5" thickBot="1">
      <c r="A138" s="250">
        <f>+A136+1</f>
        <v>146</v>
      </c>
      <c r="B138" s="251"/>
      <c r="C138" s="253" t="s">
        <v>434</v>
      </c>
      <c r="D138" s="439"/>
      <c r="E138" s="253"/>
      <c r="F138" s="253"/>
      <c r="G138" s="421">
        <f>SUM(G124:G136)/13</f>
        <v>0</v>
      </c>
      <c r="H138" s="421"/>
      <c r="I138" s="440"/>
      <c r="J138" s="441"/>
      <c r="K138" s="441"/>
      <c r="L138" s="320"/>
      <c r="M138" s="321"/>
    </row>
    <row r="139" spans="1:13">
      <c r="B139" s="183"/>
      <c r="C139" s="173"/>
      <c r="G139" s="442"/>
      <c r="H139" s="442"/>
      <c r="I139" s="443"/>
      <c r="J139" s="442"/>
      <c r="K139" s="442"/>
      <c r="L139" s="261"/>
      <c r="M139" s="261"/>
    </row>
    <row r="140" spans="1:13" ht="16.5" thickBot="1">
      <c r="A140" s="212" t="s">
        <v>435</v>
      </c>
    </row>
    <row r="141" spans="1:13">
      <c r="A141" s="429" t="s">
        <v>292</v>
      </c>
      <c r="B141" s="430"/>
      <c r="C141" s="430"/>
      <c r="D141" s="431"/>
      <c r="E141" s="431"/>
      <c r="F141" s="431"/>
      <c r="G141" s="330"/>
      <c r="H141" s="330"/>
      <c r="I141" s="330"/>
      <c r="J141" s="330"/>
      <c r="K141" s="330"/>
      <c r="L141" s="330"/>
      <c r="M141" s="432"/>
    </row>
    <row r="142" spans="1:13">
      <c r="A142" s="388"/>
      <c r="B142" s="237"/>
      <c r="C142" s="173"/>
      <c r="E142" s="237" t="s">
        <v>44</v>
      </c>
      <c r="H142" s="184"/>
      <c r="I142" s="224"/>
      <c r="K142" s="390"/>
      <c r="M142" s="244"/>
    </row>
    <row r="143" spans="1:13">
      <c r="A143" s="219"/>
      <c r="E143" s="185"/>
      <c r="F143" s="444"/>
      <c r="G143" s="444"/>
      <c r="H143" s="445" t="s">
        <v>436</v>
      </c>
      <c r="I143" s="184"/>
      <c r="J143" s="433"/>
      <c r="L143" s="261"/>
      <c r="M143" s="296"/>
    </row>
    <row r="144" spans="1:13" ht="15.75" customHeight="1">
      <c r="A144" s="219">
        <f>+A138+1</f>
        <v>147</v>
      </c>
      <c r="B144" s="183"/>
      <c r="C144" s="169" t="s">
        <v>437</v>
      </c>
      <c r="D144" s="169" t="s">
        <v>438</v>
      </c>
      <c r="E144" s="185">
        <f>+'11 - Reg. Assets and Abnd Plnt'!P18</f>
        <v>396942.74286000006</v>
      </c>
      <c r="F144" s="444" t="s">
        <v>439</v>
      </c>
      <c r="G144" s="444"/>
      <c r="H144" s="185" t="s">
        <v>440</v>
      </c>
      <c r="I144" s="184"/>
      <c r="J144" s="185"/>
      <c r="K144" s="185"/>
      <c r="L144" s="185"/>
      <c r="M144" s="446"/>
    </row>
    <row r="145" spans="1:13">
      <c r="A145" s="219"/>
      <c r="B145" s="183"/>
      <c r="E145" s="185"/>
      <c r="F145" s="447"/>
      <c r="G145" s="447"/>
      <c r="H145" s="169" t="s">
        <v>441</v>
      </c>
      <c r="I145" s="184"/>
      <c r="J145" s="448"/>
      <c r="K145" s="434"/>
      <c r="L145" s="230"/>
      <c r="M145" s="435"/>
    </row>
    <row r="146" spans="1:13">
      <c r="A146" s="219">
        <f>+A144+1</f>
        <v>148</v>
      </c>
      <c r="B146" s="183"/>
      <c r="C146" s="169" t="s">
        <v>442</v>
      </c>
      <c r="D146" s="169" t="s">
        <v>443</v>
      </c>
      <c r="E146" s="185">
        <f>+'11 - Reg. Assets and Abnd Plnt'!AJ18</f>
        <v>5667360.9205955332</v>
      </c>
      <c r="F146" s="444" t="s">
        <v>444</v>
      </c>
      <c r="G146" s="444"/>
      <c r="H146" s="434" t="s">
        <v>445</v>
      </c>
      <c r="I146" s="184"/>
      <c r="J146" s="184"/>
      <c r="K146" s="434"/>
      <c r="M146" s="435"/>
    </row>
    <row r="147" spans="1:13">
      <c r="A147" s="219"/>
      <c r="B147" s="183"/>
      <c r="E147" s="444"/>
      <c r="F147" s="444"/>
      <c r="G147" s="444"/>
      <c r="H147" s="322" t="s">
        <v>446</v>
      </c>
      <c r="I147" s="433" t="s">
        <v>447</v>
      </c>
      <c r="J147" s="433"/>
      <c r="K147" s="434"/>
      <c r="M147" s="435"/>
    </row>
    <row r="148" spans="1:13">
      <c r="A148" s="219"/>
      <c r="B148" s="183"/>
      <c r="E148" s="444"/>
      <c r="F148" s="444"/>
      <c r="G148" s="444"/>
      <c r="H148" s="449" t="str">
        <f>'11 - Reg. Assets and Abnd Plnt'!AN8</f>
        <v>ER20-2010-000</v>
      </c>
      <c r="I148" s="450" t="s">
        <v>448</v>
      </c>
      <c r="J148" s="184"/>
      <c r="K148" s="434"/>
      <c r="L148" s="230"/>
      <c r="M148" s="435"/>
    </row>
    <row r="149" spans="1:13" ht="15.75" customHeight="1">
      <c r="A149" s="336"/>
      <c r="H149" s="451"/>
      <c r="I149" s="451"/>
      <c r="J149" s="184"/>
      <c r="M149" s="244"/>
    </row>
    <row r="150" spans="1:13" ht="16.5" thickBot="1">
      <c r="A150" s="250"/>
      <c r="B150" s="251"/>
      <c r="C150" s="452"/>
      <c r="D150" s="253"/>
      <c r="E150" s="253"/>
      <c r="F150" s="253"/>
      <c r="G150" s="441"/>
      <c r="H150" s="453"/>
      <c r="I150" s="454"/>
      <c r="J150" s="419"/>
      <c r="K150" s="455"/>
      <c r="L150" s="320"/>
      <c r="M150" s="321"/>
    </row>
    <row r="152" spans="1:13" ht="16.5" thickBot="1">
      <c r="A152" s="212" t="s">
        <v>449</v>
      </c>
    </row>
    <row r="153" spans="1:13" ht="16.5" customHeight="1">
      <c r="A153" s="213" t="s">
        <v>292</v>
      </c>
      <c r="B153" s="214"/>
      <c r="C153" s="214"/>
      <c r="D153" s="214"/>
      <c r="E153" s="214"/>
      <c r="F153" s="214"/>
      <c r="G153" s="456"/>
      <c r="H153" s="456"/>
      <c r="I153" s="456"/>
      <c r="J153" s="423" t="s">
        <v>339</v>
      </c>
      <c r="K153" s="332"/>
      <c r="L153" s="332"/>
      <c r="M153" s="333"/>
    </row>
    <row r="154" spans="1:13">
      <c r="A154" s="219">
        <f>+A146+1</f>
        <v>149</v>
      </c>
      <c r="C154" s="220" t="s">
        <v>450</v>
      </c>
      <c r="E154" s="183"/>
      <c r="F154" s="287"/>
      <c r="G154" s="428"/>
      <c r="J154" s="261"/>
      <c r="K154" s="261"/>
      <c r="L154" s="261"/>
      <c r="M154" s="296"/>
    </row>
    <row r="155" spans="1:13">
      <c r="A155" s="219"/>
      <c r="C155" s="220"/>
      <c r="E155" s="183"/>
      <c r="F155" s="287"/>
      <c r="G155" s="428"/>
      <c r="J155" s="261"/>
      <c r="K155" s="261"/>
      <c r="L155" s="261"/>
      <c r="M155" s="296"/>
    </row>
    <row r="156" spans="1:13">
      <c r="A156" s="219"/>
      <c r="B156" s="183"/>
      <c r="M156" s="244"/>
    </row>
    <row r="157" spans="1:13">
      <c r="A157" s="219">
        <f>A154+1</f>
        <v>150</v>
      </c>
      <c r="B157" s="183"/>
      <c r="C157" s="457" t="s">
        <v>451</v>
      </c>
      <c r="D157" s="224"/>
      <c r="E157" s="458"/>
      <c r="M157" s="244"/>
    </row>
    <row r="158" spans="1:13">
      <c r="A158" s="219">
        <f t="shared" ref="A158:A165" si="4">+A157+1</f>
        <v>151</v>
      </c>
      <c r="B158" s="183"/>
      <c r="C158" s="24" t="s">
        <v>452</v>
      </c>
      <c r="D158" s="24"/>
      <c r="E158" s="459">
        <v>0</v>
      </c>
      <c r="F158" s="169" t="s">
        <v>299</v>
      </c>
      <c r="M158" s="244"/>
    </row>
    <row r="159" spans="1:13">
      <c r="A159" s="219">
        <f t="shared" si="4"/>
        <v>152</v>
      </c>
      <c r="B159" s="183"/>
      <c r="C159" s="24" t="s">
        <v>453</v>
      </c>
      <c r="D159" s="24"/>
      <c r="E159" s="459">
        <v>0</v>
      </c>
      <c r="M159" s="244"/>
    </row>
    <row r="160" spans="1:13">
      <c r="A160" s="219">
        <f t="shared" si="4"/>
        <v>153</v>
      </c>
      <c r="B160" s="183"/>
      <c r="C160" s="24" t="s">
        <v>454</v>
      </c>
      <c r="D160" s="24" t="s">
        <v>455</v>
      </c>
      <c r="E160" s="460">
        <f>IF(E159=0,0,E158/E159)</f>
        <v>0</v>
      </c>
      <c r="M160" s="244"/>
    </row>
    <row r="161" spans="1:13">
      <c r="A161" s="219">
        <f t="shared" si="4"/>
        <v>154</v>
      </c>
      <c r="B161" s="183"/>
      <c r="C161" s="24" t="s">
        <v>456</v>
      </c>
      <c r="D161" s="24" t="s">
        <v>457</v>
      </c>
      <c r="E161" s="461">
        <v>0</v>
      </c>
      <c r="M161" s="244"/>
    </row>
    <row r="162" spans="1:13">
      <c r="A162" s="219">
        <f t="shared" si="4"/>
        <v>155</v>
      </c>
      <c r="B162" s="183"/>
      <c r="C162" s="24" t="s">
        <v>458</v>
      </c>
      <c r="D162" s="24" t="s">
        <v>459</v>
      </c>
      <c r="E162" s="97">
        <f>+E160*E161</f>
        <v>0</v>
      </c>
      <c r="M162" s="244"/>
    </row>
    <row r="163" spans="1:13">
      <c r="A163" s="219">
        <f t="shared" si="4"/>
        <v>156</v>
      </c>
      <c r="B163" s="183"/>
      <c r="C163" s="24" t="s">
        <v>460</v>
      </c>
      <c r="D163" s="24" t="s">
        <v>432</v>
      </c>
      <c r="E163" s="461">
        <v>0</v>
      </c>
      <c r="M163" s="244"/>
    </row>
    <row r="164" spans="1:13">
      <c r="A164" s="219">
        <f t="shared" si="4"/>
        <v>157</v>
      </c>
      <c r="B164" s="183"/>
      <c r="C164" s="24" t="s">
        <v>461</v>
      </c>
      <c r="D164" s="24" t="s">
        <v>462</v>
      </c>
      <c r="E164" s="97">
        <f>+E162-E163</f>
        <v>0</v>
      </c>
      <c r="M164" s="244"/>
    </row>
    <row r="165" spans="1:13">
      <c r="A165" s="219">
        <f t="shared" si="4"/>
        <v>158</v>
      </c>
      <c r="B165" s="183"/>
      <c r="C165" s="24" t="str">
        <f>"Lines "&amp;A158&amp;"-"&amp;A160&amp;" cannot change absent approval or acceptance by FERC in a separate proceeding. "</f>
        <v xml:space="preserve">Lines 151-153 cannot change absent approval or acceptance by FERC in a separate proceeding. </v>
      </c>
      <c r="D165" s="24"/>
      <c r="E165" s="24"/>
      <c r="M165" s="244"/>
    </row>
    <row r="166" spans="1:13">
      <c r="A166" s="219"/>
      <c r="B166" s="183"/>
      <c r="C166" s="24"/>
      <c r="D166" s="24"/>
      <c r="E166" s="24"/>
      <c r="M166" s="244"/>
    </row>
    <row r="167" spans="1:13">
      <c r="A167" s="219">
        <f>+A165+1</f>
        <v>159</v>
      </c>
      <c r="C167" s="169" t="s">
        <v>463</v>
      </c>
      <c r="E167" s="462">
        <f>E164</f>
        <v>0</v>
      </c>
      <c r="M167" s="244"/>
    </row>
    <row r="168" spans="1:13">
      <c r="A168" s="219"/>
      <c r="M168" s="244"/>
    </row>
    <row r="169" spans="1:13">
      <c r="A169" s="336"/>
      <c r="C169" s="463" t="s">
        <v>464</v>
      </c>
      <c r="M169" s="244"/>
    </row>
    <row r="170" spans="1:13">
      <c r="A170" s="336"/>
      <c r="M170" s="244"/>
    </row>
    <row r="171" spans="1:13" ht="16.5" thickBot="1">
      <c r="A171" s="395"/>
      <c r="B171" s="253"/>
      <c r="C171" s="253"/>
      <c r="D171" s="253"/>
      <c r="E171" s="253"/>
      <c r="F171" s="253"/>
      <c r="G171" s="253"/>
      <c r="H171" s="253"/>
      <c r="I171" s="253"/>
      <c r="J171" s="253"/>
      <c r="K171" s="253"/>
      <c r="L171" s="253"/>
      <c r="M171" s="380"/>
    </row>
    <row r="172" spans="1:13">
      <c r="A172" s="169"/>
    </row>
    <row r="173" spans="1:13">
      <c r="A173" s="169"/>
    </row>
    <row r="174" spans="1:13">
      <c r="A174" s="169"/>
    </row>
    <row r="175" spans="1:13">
      <c r="A175" s="169"/>
    </row>
    <row r="176" spans="1:13">
      <c r="A176" s="169"/>
    </row>
    <row r="177" spans="1:1">
      <c r="A177" s="169"/>
    </row>
    <row r="178" spans="1:1">
      <c r="A178" s="169"/>
    </row>
    <row r="179" spans="1:1">
      <c r="A179" s="169"/>
    </row>
    <row r="180" spans="1:1">
      <c r="A180" s="169"/>
    </row>
    <row r="181" spans="1:1">
      <c r="A181" s="169"/>
    </row>
    <row r="182" spans="1:1">
      <c r="A182" s="169"/>
    </row>
    <row r="183" spans="1:1">
      <c r="A183" s="169"/>
    </row>
    <row r="184" spans="1:1">
      <c r="A184" s="169"/>
    </row>
  </sheetData>
  <mergeCells count="25">
    <mergeCell ref="A112:F112"/>
    <mergeCell ref="H112:M112"/>
    <mergeCell ref="H114:M114"/>
    <mergeCell ref="H115:M115"/>
    <mergeCell ref="A153:F153"/>
    <mergeCell ref="J153:M153"/>
    <mergeCell ref="A86:F86"/>
    <mergeCell ref="J86:M86"/>
    <mergeCell ref="J93:M93"/>
    <mergeCell ref="A97:F97"/>
    <mergeCell ref="L97:M97"/>
    <mergeCell ref="A104:F104"/>
    <mergeCell ref="J104:M104"/>
    <mergeCell ref="A57:F57"/>
    <mergeCell ref="J57:M57"/>
    <mergeCell ref="J58:M58"/>
    <mergeCell ref="A73:F73"/>
    <mergeCell ref="J73:M73"/>
    <mergeCell ref="J74:M74"/>
    <mergeCell ref="A3:F3"/>
    <mergeCell ref="J3:M3"/>
    <mergeCell ref="J48:M48"/>
    <mergeCell ref="A50:F50"/>
    <mergeCell ref="J50:M50"/>
    <mergeCell ref="G53:M53"/>
  </mergeCells>
  <printOptions horizontalCentered="1"/>
  <pageMargins left="0.25" right="0.25" top="0.75" bottom="0.75" header="0.5" footer="0.5"/>
  <pageSetup scale="58" fitToHeight="0" orientation="landscape" r:id="rId1"/>
  <headerFooter alignWithMargins="0"/>
  <rowBreaks count="5" manualBreakCount="5">
    <brk id="48" max="16383" man="1"/>
    <brk id="83" max="16383" man="1"/>
    <brk id="95" max="16383" man="1"/>
    <brk id="118" max="16383" man="1"/>
    <brk id="15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97381-1F9C-42C0-9105-055BCBCBD4C3}">
  <sheetPr>
    <pageSetUpPr fitToPage="1"/>
  </sheetPr>
  <dimension ref="A1:S46"/>
  <sheetViews>
    <sheetView view="pageBreakPreview" zoomScale="70" zoomScaleNormal="85" zoomScaleSheetLayoutView="70" workbookViewId="0">
      <selection activeCell="G16" sqref="G16"/>
    </sheetView>
  </sheetViews>
  <sheetFormatPr defaultRowHeight="15.75"/>
  <cols>
    <col min="1" max="1" width="8.88671875" style="464"/>
    <col min="2" max="2" width="57.6640625" style="24" customWidth="1"/>
    <col min="3" max="3" width="22.44140625" style="24" customWidth="1"/>
    <col min="4" max="4" width="13.44140625" style="36" bestFit="1" customWidth="1"/>
    <col min="5" max="5" width="11.21875" style="36" bestFit="1" customWidth="1"/>
    <col min="6" max="12" width="9.77734375" style="36" bestFit="1" customWidth="1"/>
    <col min="13" max="13" width="10" style="36" bestFit="1" customWidth="1"/>
    <col min="14" max="16" width="9.77734375" style="36" bestFit="1" customWidth="1"/>
    <col min="17" max="17" width="12.88671875" style="36" bestFit="1" customWidth="1"/>
    <col min="18" max="18" width="11" style="466" bestFit="1" customWidth="1"/>
  </cols>
  <sheetData>
    <row r="1" spans="1:18">
      <c r="E1" s="465"/>
    </row>
    <row r="2" spans="1:18">
      <c r="E2" s="465"/>
    </row>
    <row r="3" spans="1:18" s="184" customFormat="1">
      <c r="A3" s="467" t="s">
        <v>465</v>
      </c>
      <c r="B3" s="169"/>
      <c r="C3" s="169"/>
      <c r="D3" s="32"/>
      <c r="E3" s="32"/>
      <c r="F3" s="32"/>
      <c r="G3" s="32"/>
      <c r="H3" s="32"/>
      <c r="I3" s="32"/>
      <c r="J3" s="32"/>
      <c r="K3" s="32"/>
      <c r="L3" s="32"/>
      <c r="M3" s="32"/>
      <c r="N3" s="32"/>
      <c r="O3" s="32"/>
      <c r="P3" s="32"/>
      <c r="Q3" s="32"/>
      <c r="R3" s="468"/>
    </row>
    <row r="4" spans="1:18" s="184" customFormat="1" ht="16.5" thickBot="1">
      <c r="A4" s="375" t="s">
        <v>292</v>
      </c>
      <c r="B4" s="375"/>
      <c r="C4" s="375"/>
      <c r="D4" s="375"/>
      <c r="E4" s="375"/>
      <c r="F4" s="375"/>
      <c r="G4" s="469"/>
      <c r="H4" s="470"/>
      <c r="I4" s="471"/>
      <c r="J4" s="471"/>
      <c r="K4" s="471"/>
      <c r="L4" s="471"/>
      <c r="M4" s="471"/>
      <c r="N4" s="32"/>
      <c r="O4" s="32"/>
      <c r="P4" s="32"/>
      <c r="Q4" s="32"/>
      <c r="R4" s="468"/>
    </row>
    <row r="5" spans="1:18" s="184" customFormat="1">
      <c r="A5" s="472"/>
      <c r="B5" s="473"/>
      <c r="C5" s="298"/>
      <c r="D5" s="474"/>
      <c r="E5" s="475"/>
      <c r="F5" s="475"/>
      <c r="G5" s="475"/>
      <c r="H5" s="474"/>
      <c r="I5" s="474"/>
      <c r="J5" s="474"/>
      <c r="K5" s="474"/>
      <c r="L5" s="474"/>
      <c r="M5" s="474"/>
      <c r="N5" s="476"/>
      <c r="O5" s="476"/>
      <c r="P5" s="476"/>
      <c r="Q5" s="477"/>
      <c r="R5" s="468"/>
    </row>
    <row r="6" spans="1:18">
      <c r="A6" s="478"/>
      <c r="B6" s="22"/>
      <c r="C6" s="22"/>
      <c r="D6" s="243"/>
      <c r="E6" s="243"/>
      <c r="F6" s="243"/>
      <c r="G6" s="243"/>
      <c r="H6" s="243"/>
      <c r="I6" s="243"/>
      <c r="J6" s="243"/>
      <c r="K6" s="243"/>
      <c r="L6" s="243"/>
      <c r="M6" s="243"/>
      <c r="N6" s="243"/>
      <c r="O6" s="243"/>
      <c r="P6" s="243"/>
      <c r="Q6" s="479"/>
    </row>
    <row r="7" spans="1:18">
      <c r="A7" s="480"/>
      <c r="B7" s="22"/>
      <c r="C7" s="23" t="s">
        <v>466</v>
      </c>
      <c r="D7" s="243"/>
      <c r="E7" s="243"/>
      <c r="F7" s="243"/>
      <c r="G7" s="243"/>
      <c r="H7" s="243"/>
      <c r="I7" s="243"/>
      <c r="J7" s="243"/>
      <c r="K7" s="243"/>
      <c r="L7" s="243"/>
      <c r="M7" s="243"/>
      <c r="N7" s="243"/>
      <c r="O7" s="243"/>
      <c r="P7" s="243"/>
      <c r="Q7" s="479"/>
    </row>
    <row r="8" spans="1:18">
      <c r="A8" s="481" t="s">
        <v>251</v>
      </c>
      <c r="B8" s="482" t="s">
        <v>467</v>
      </c>
      <c r="C8" s="482" t="s">
        <v>468</v>
      </c>
      <c r="D8" s="483" t="s">
        <v>296</v>
      </c>
      <c r="E8" s="483" t="s">
        <v>298</v>
      </c>
      <c r="F8" s="483" t="s">
        <v>300</v>
      </c>
      <c r="G8" s="483" t="s">
        <v>301</v>
      </c>
      <c r="H8" s="483" t="s">
        <v>302</v>
      </c>
      <c r="I8" s="483" t="s">
        <v>303</v>
      </c>
      <c r="J8" s="483" t="s">
        <v>469</v>
      </c>
      <c r="K8" s="483" t="s">
        <v>305</v>
      </c>
      <c r="L8" s="483" t="s">
        <v>306</v>
      </c>
      <c r="M8" s="483" t="s">
        <v>307</v>
      </c>
      <c r="N8" s="483" t="s">
        <v>314</v>
      </c>
      <c r="O8" s="483" t="s">
        <v>309</v>
      </c>
      <c r="P8" s="483" t="s">
        <v>296</v>
      </c>
      <c r="Q8" s="484" t="s">
        <v>470</v>
      </c>
    </row>
    <row r="9" spans="1:18">
      <c r="A9" s="480"/>
      <c r="D9" s="369" t="s">
        <v>471</v>
      </c>
      <c r="E9" s="369" t="s">
        <v>472</v>
      </c>
      <c r="F9" s="369" t="s">
        <v>473</v>
      </c>
      <c r="G9" s="369" t="s">
        <v>474</v>
      </c>
      <c r="H9" s="369" t="s">
        <v>475</v>
      </c>
      <c r="I9" s="369" t="s">
        <v>476</v>
      </c>
      <c r="J9" s="369" t="s">
        <v>477</v>
      </c>
      <c r="K9" s="369" t="s">
        <v>478</v>
      </c>
      <c r="L9" s="369" t="s">
        <v>479</v>
      </c>
      <c r="M9" s="369" t="s">
        <v>480</v>
      </c>
      <c r="N9" s="369" t="s">
        <v>481</v>
      </c>
      <c r="O9" s="369" t="s">
        <v>482</v>
      </c>
      <c r="P9" s="369" t="s">
        <v>483</v>
      </c>
      <c r="Q9" s="485" t="s">
        <v>484</v>
      </c>
    </row>
    <row r="10" spans="1:18">
      <c r="A10" s="480">
        <f>+'2a - Cost Support'!A167+1</f>
        <v>160</v>
      </c>
      <c r="B10" s="24" t="s">
        <v>485</v>
      </c>
      <c r="D10" s="486"/>
      <c r="E10" s="486"/>
      <c r="F10" s="486"/>
      <c r="G10" s="486"/>
      <c r="H10" s="486"/>
      <c r="I10" s="486"/>
      <c r="J10" s="486"/>
      <c r="K10" s="486"/>
      <c r="L10" s="486"/>
      <c r="M10" s="486"/>
      <c r="N10" s="486"/>
      <c r="O10" s="486"/>
      <c r="P10" s="486"/>
      <c r="Q10" s="487"/>
    </row>
    <row r="11" spans="1:18">
      <c r="A11" s="480">
        <f t="shared" ref="A11:A41" si="0">A10+1</f>
        <v>161</v>
      </c>
      <c r="B11" s="488" t="s">
        <v>486</v>
      </c>
      <c r="C11" s="22" t="s">
        <v>487</v>
      </c>
      <c r="D11" s="489">
        <v>0</v>
      </c>
      <c r="E11" s="489">
        <v>0</v>
      </c>
      <c r="F11" s="489">
        <v>0</v>
      </c>
      <c r="G11" s="489">
        <v>0</v>
      </c>
      <c r="H11" s="489">
        <v>0</v>
      </c>
      <c r="I11" s="489">
        <v>0</v>
      </c>
      <c r="J11" s="489">
        <v>0</v>
      </c>
      <c r="K11" s="489">
        <v>0</v>
      </c>
      <c r="L11" s="489">
        <v>0</v>
      </c>
      <c r="M11" s="489">
        <v>0</v>
      </c>
      <c r="N11" s="489">
        <v>0</v>
      </c>
      <c r="O11" s="489">
        <v>0</v>
      </c>
      <c r="P11" s="489">
        <v>0</v>
      </c>
      <c r="Q11" s="487">
        <f>AVERAGE(D11:P11)</f>
        <v>0</v>
      </c>
    </row>
    <row r="12" spans="1:18">
      <c r="A12" s="480">
        <f t="shared" si="0"/>
        <v>162</v>
      </c>
      <c r="B12" s="488" t="s">
        <v>488</v>
      </c>
      <c r="C12" s="22" t="s">
        <v>489</v>
      </c>
      <c r="D12" s="489">
        <v>0</v>
      </c>
      <c r="E12" s="489">
        <v>0</v>
      </c>
      <c r="F12" s="489">
        <v>0</v>
      </c>
      <c r="G12" s="489">
        <v>0</v>
      </c>
      <c r="H12" s="489">
        <v>0</v>
      </c>
      <c r="I12" s="489">
        <v>0</v>
      </c>
      <c r="J12" s="489">
        <v>0</v>
      </c>
      <c r="K12" s="489">
        <v>0</v>
      </c>
      <c r="L12" s="489">
        <v>0</v>
      </c>
      <c r="M12" s="489">
        <v>0</v>
      </c>
      <c r="N12" s="489">
        <v>0</v>
      </c>
      <c r="O12" s="489">
        <v>0</v>
      </c>
      <c r="P12" s="489">
        <v>0</v>
      </c>
      <c r="Q12" s="487">
        <f t="shared" ref="Q12:Q14" si="1">AVERAGE(D12:P12)</f>
        <v>0</v>
      </c>
    </row>
    <row r="13" spans="1:18">
      <c r="A13" s="480">
        <f t="shared" si="0"/>
        <v>163</v>
      </c>
      <c r="B13" s="488" t="s">
        <v>490</v>
      </c>
      <c r="C13" s="22" t="s">
        <v>491</v>
      </c>
      <c r="D13" s="489">
        <v>32242445.459999997</v>
      </c>
      <c r="E13" s="489">
        <v>34330067.664999999</v>
      </c>
      <c r="F13" s="489">
        <v>0</v>
      </c>
      <c r="G13" s="489">
        <v>0</v>
      </c>
      <c r="H13" s="489">
        <v>0</v>
      </c>
      <c r="I13" s="489">
        <v>27505532.690000001</v>
      </c>
      <c r="J13" s="489">
        <v>28523516.620000001</v>
      </c>
      <c r="K13" s="489">
        <v>28523516.620000001</v>
      </c>
      <c r="L13" s="489">
        <v>28523516.620000001</v>
      </c>
      <c r="M13" s="489">
        <v>28264355.120000001</v>
      </c>
      <c r="N13" s="489">
        <v>31320860.879999999</v>
      </c>
      <c r="O13" s="489">
        <v>31320860.879999999</v>
      </c>
      <c r="P13" s="489">
        <v>31618900.140000001</v>
      </c>
      <c r="Q13" s="487">
        <f t="shared" si="1"/>
        <v>23244120.976538461</v>
      </c>
    </row>
    <row r="14" spans="1:18" ht="16.5" thickBot="1">
      <c r="A14" s="480">
        <f t="shared" si="0"/>
        <v>164</v>
      </c>
      <c r="B14" s="490" t="s">
        <v>492</v>
      </c>
      <c r="C14" s="22" t="s">
        <v>493</v>
      </c>
      <c r="D14" s="491">
        <v>0</v>
      </c>
      <c r="E14" s="491">
        <v>0</v>
      </c>
      <c r="F14" s="491">
        <v>0</v>
      </c>
      <c r="G14" s="491">
        <v>0</v>
      </c>
      <c r="H14" s="491">
        <v>0</v>
      </c>
      <c r="I14" s="491">
        <v>0</v>
      </c>
      <c r="J14" s="491">
        <v>0</v>
      </c>
      <c r="K14" s="491">
        <v>0</v>
      </c>
      <c r="L14" s="491">
        <v>0</v>
      </c>
      <c r="M14" s="491">
        <v>0</v>
      </c>
      <c r="N14" s="491">
        <v>0</v>
      </c>
      <c r="O14" s="491">
        <v>0</v>
      </c>
      <c r="P14" s="491">
        <v>0</v>
      </c>
      <c r="Q14" s="487">
        <f t="shared" si="1"/>
        <v>0</v>
      </c>
    </row>
    <row r="15" spans="1:18" ht="16.5" thickBot="1">
      <c r="A15" s="480">
        <f t="shared" si="0"/>
        <v>165</v>
      </c>
      <c r="B15" s="492" t="s">
        <v>494</v>
      </c>
      <c r="C15" s="22" t="str">
        <f>"Sum Lines "&amp;A11&amp;" - "&amp;A14</f>
        <v>Sum Lines 161 - 164</v>
      </c>
      <c r="D15" s="486">
        <f t="shared" ref="D15:E15" si="2">SUM(D11:D14)</f>
        <v>32242445.459999997</v>
      </c>
      <c r="E15" s="486">
        <f t="shared" si="2"/>
        <v>34330067.664999999</v>
      </c>
      <c r="F15" s="486">
        <f t="shared" ref="F15:P15" si="3">SUM(F11:F14)</f>
        <v>0</v>
      </c>
      <c r="G15" s="486">
        <f t="shared" si="3"/>
        <v>0</v>
      </c>
      <c r="H15" s="486">
        <f t="shared" si="3"/>
        <v>0</v>
      </c>
      <c r="I15" s="486">
        <f t="shared" si="3"/>
        <v>27505532.690000001</v>
      </c>
      <c r="J15" s="486">
        <f t="shared" si="3"/>
        <v>28523516.620000001</v>
      </c>
      <c r="K15" s="486">
        <f t="shared" si="3"/>
        <v>28523516.620000001</v>
      </c>
      <c r="L15" s="486">
        <f t="shared" si="3"/>
        <v>28523516.620000001</v>
      </c>
      <c r="M15" s="486">
        <f t="shared" si="3"/>
        <v>28264355.120000001</v>
      </c>
      <c r="N15" s="486">
        <f t="shared" si="3"/>
        <v>31320860.879999999</v>
      </c>
      <c r="O15" s="486">
        <f t="shared" si="3"/>
        <v>31320860.879999999</v>
      </c>
      <c r="P15" s="486">
        <f t="shared" si="3"/>
        <v>31618900.140000001</v>
      </c>
      <c r="Q15" s="493">
        <f>SUM(Q11:Q14)</f>
        <v>23244120.976538461</v>
      </c>
    </row>
    <row r="16" spans="1:18" ht="16.5" thickBot="1">
      <c r="A16" s="480">
        <f t="shared" si="0"/>
        <v>166</v>
      </c>
      <c r="D16" s="486"/>
      <c r="E16" s="486"/>
      <c r="F16" s="486"/>
      <c r="G16" s="486"/>
      <c r="H16" s="486"/>
      <c r="I16" s="486"/>
      <c r="J16" s="486"/>
      <c r="K16" s="486"/>
      <c r="L16" s="486"/>
      <c r="M16" s="486"/>
      <c r="N16" s="486"/>
      <c r="O16" s="486"/>
      <c r="P16" s="486"/>
      <c r="Q16" s="487"/>
    </row>
    <row r="17" spans="1:19" ht="16.5" thickBot="1">
      <c r="A17" s="480">
        <f t="shared" si="0"/>
        <v>167</v>
      </c>
      <c r="B17" s="492" t="s">
        <v>495</v>
      </c>
      <c r="C17" s="22" t="s">
        <v>496</v>
      </c>
      <c r="D17" s="489"/>
      <c r="E17" s="489"/>
      <c r="F17" s="489">
        <v>0</v>
      </c>
      <c r="G17" s="489">
        <v>0</v>
      </c>
      <c r="H17" s="489">
        <v>0</v>
      </c>
      <c r="I17" s="489">
        <v>0</v>
      </c>
      <c r="J17" s="489">
        <v>0</v>
      </c>
      <c r="K17" s="489">
        <v>0</v>
      </c>
      <c r="L17" s="489">
        <v>0</v>
      </c>
      <c r="M17" s="489">
        <v>0</v>
      </c>
      <c r="N17" s="489">
        <v>0</v>
      </c>
      <c r="O17" s="489">
        <v>0</v>
      </c>
      <c r="P17" s="489">
        <v>0</v>
      </c>
      <c r="Q17" s="493">
        <f>AVERAGE(D17:P17)</f>
        <v>0</v>
      </c>
    </row>
    <row r="18" spans="1:19">
      <c r="A18" s="480">
        <f t="shared" si="0"/>
        <v>168</v>
      </c>
      <c r="D18" s="486"/>
      <c r="E18" s="486"/>
      <c r="F18" s="486"/>
      <c r="G18" s="486"/>
      <c r="H18" s="486"/>
      <c r="I18" s="486"/>
      <c r="J18" s="486"/>
      <c r="K18" s="486"/>
      <c r="L18" s="486"/>
      <c r="M18" s="486"/>
      <c r="N18" s="486"/>
      <c r="O18" s="486"/>
      <c r="P18" s="486"/>
      <c r="Q18" s="487"/>
    </row>
    <row r="19" spans="1:19">
      <c r="A19" s="480">
        <f t="shared" si="0"/>
        <v>169</v>
      </c>
      <c r="B19" s="24" t="s">
        <v>497</v>
      </c>
      <c r="C19" s="22" t="s">
        <v>498</v>
      </c>
      <c r="D19" s="489">
        <v>32242445.459999997</v>
      </c>
      <c r="E19" s="489">
        <v>34330067.664999999</v>
      </c>
      <c r="F19" s="489">
        <v>68545350.020000011</v>
      </c>
      <c r="G19" s="489">
        <v>70833632.590000004</v>
      </c>
      <c r="H19" s="489">
        <v>72247000.640000001</v>
      </c>
      <c r="I19" s="489">
        <v>45444434.25</v>
      </c>
      <c r="J19" s="489">
        <v>47837836.409999996</v>
      </c>
      <c r="K19" s="489">
        <v>47836167.850000001</v>
      </c>
      <c r="L19" s="489">
        <v>48018413.390000001</v>
      </c>
      <c r="M19" s="489">
        <v>49380299.979999997</v>
      </c>
      <c r="N19" s="489">
        <v>46896999.390000001</v>
      </c>
      <c r="O19" s="489">
        <v>47207453.68</v>
      </c>
      <c r="P19" s="489">
        <v>47350933</v>
      </c>
      <c r="Q19" s="487">
        <f>AVERAGE(D19:P19)</f>
        <v>50628541.101923071</v>
      </c>
    </row>
    <row r="20" spans="1:19">
      <c r="A20" s="480">
        <f t="shared" si="0"/>
        <v>170</v>
      </c>
      <c r="B20" s="488" t="s">
        <v>499</v>
      </c>
      <c r="C20" s="22" t="s">
        <v>496</v>
      </c>
      <c r="D20" s="489"/>
      <c r="E20" s="489"/>
      <c r="F20" s="489">
        <v>0</v>
      </c>
      <c r="G20" s="489">
        <v>0</v>
      </c>
      <c r="H20" s="489">
        <v>0</v>
      </c>
      <c r="I20" s="489">
        <v>0</v>
      </c>
      <c r="J20" s="489">
        <v>0</v>
      </c>
      <c r="K20" s="489">
        <v>0</v>
      </c>
      <c r="L20" s="489">
        <v>0</v>
      </c>
      <c r="M20" s="489">
        <v>0</v>
      </c>
      <c r="N20" s="489">
        <v>0</v>
      </c>
      <c r="O20" s="489">
        <v>0</v>
      </c>
      <c r="P20" s="489">
        <v>0</v>
      </c>
      <c r="Q20" s="487">
        <f>AVERAGE(D20:P20)</f>
        <v>0</v>
      </c>
    </row>
    <row r="21" spans="1:19">
      <c r="A21" s="480">
        <f t="shared" si="0"/>
        <v>171</v>
      </c>
      <c r="B21" s="494" t="s">
        <v>500</v>
      </c>
      <c r="C21" s="22" t="s">
        <v>501</v>
      </c>
      <c r="D21" s="489"/>
      <c r="E21" s="489"/>
      <c r="F21" s="489">
        <v>0</v>
      </c>
      <c r="G21" s="489">
        <v>0</v>
      </c>
      <c r="H21" s="489">
        <v>0</v>
      </c>
      <c r="I21" s="489">
        <v>0</v>
      </c>
      <c r="J21" s="489">
        <v>0</v>
      </c>
      <c r="K21" s="489">
        <v>0</v>
      </c>
      <c r="L21" s="489">
        <v>0</v>
      </c>
      <c r="M21" s="489">
        <v>0</v>
      </c>
      <c r="N21" s="489">
        <v>0</v>
      </c>
      <c r="O21" s="489">
        <v>0</v>
      </c>
      <c r="P21" s="489">
        <v>0</v>
      </c>
      <c r="Q21" s="487">
        <f>AVERAGE(D21:P21)</f>
        <v>0</v>
      </c>
      <c r="R21" s="495"/>
    </row>
    <row r="22" spans="1:19" ht="16.5" thickBot="1">
      <c r="A22" s="480">
        <f t="shared" si="0"/>
        <v>172</v>
      </c>
      <c r="B22" s="494" t="s">
        <v>502</v>
      </c>
      <c r="C22" s="22" t="s">
        <v>503</v>
      </c>
      <c r="D22" s="491"/>
      <c r="E22" s="491"/>
      <c r="F22" s="491">
        <v>0</v>
      </c>
      <c r="G22" s="491">
        <v>0</v>
      </c>
      <c r="H22" s="491">
        <v>0</v>
      </c>
      <c r="I22" s="491">
        <v>0</v>
      </c>
      <c r="J22" s="491">
        <v>0</v>
      </c>
      <c r="K22" s="491">
        <v>0</v>
      </c>
      <c r="L22" s="491">
        <v>0</v>
      </c>
      <c r="M22" s="491">
        <v>0</v>
      </c>
      <c r="N22" s="491">
        <v>0</v>
      </c>
      <c r="O22" s="491">
        <v>0</v>
      </c>
      <c r="P22" s="491">
        <v>0</v>
      </c>
      <c r="Q22" s="496">
        <f>AVERAGE(D22:P22)</f>
        <v>0</v>
      </c>
      <c r="R22" s="495"/>
    </row>
    <row r="23" spans="1:19" ht="16.5" thickBot="1">
      <c r="A23" s="480">
        <f t="shared" si="0"/>
        <v>173</v>
      </c>
      <c r="B23" s="24" t="str">
        <f>"Adjusted Common Equity"</f>
        <v>Adjusted Common Equity</v>
      </c>
      <c r="C23" s="22" t="str">
        <f>"Ln "&amp; A19&amp;" - "&amp;A20&amp;" - "&amp;A21&amp;" - "&amp;A22</f>
        <v>Ln 169 - 170 - 171 - 172</v>
      </c>
      <c r="D23" s="486">
        <f t="shared" ref="D23:Q23" si="4">D19-D20-D21-D22</f>
        <v>32242445.459999997</v>
      </c>
      <c r="E23" s="486">
        <f t="shared" si="4"/>
        <v>34330067.664999999</v>
      </c>
      <c r="F23" s="486">
        <f t="shared" si="4"/>
        <v>68545350.020000011</v>
      </c>
      <c r="G23" s="486">
        <f t="shared" si="4"/>
        <v>70833632.590000004</v>
      </c>
      <c r="H23" s="486">
        <f t="shared" si="4"/>
        <v>72247000.640000001</v>
      </c>
      <c r="I23" s="486">
        <f t="shared" si="4"/>
        <v>45444434.25</v>
      </c>
      <c r="J23" s="486">
        <f t="shared" si="4"/>
        <v>47837836.409999996</v>
      </c>
      <c r="K23" s="486">
        <f t="shared" si="4"/>
        <v>47836167.850000001</v>
      </c>
      <c r="L23" s="486">
        <f t="shared" si="4"/>
        <v>48018413.390000001</v>
      </c>
      <c r="M23" s="486">
        <f t="shared" si="4"/>
        <v>49380299.979999997</v>
      </c>
      <c r="N23" s="486">
        <f t="shared" si="4"/>
        <v>46896999.390000001</v>
      </c>
      <c r="O23" s="486">
        <f t="shared" si="4"/>
        <v>47207453.68</v>
      </c>
      <c r="P23" s="486">
        <f t="shared" si="4"/>
        <v>47350933</v>
      </c>
      <c r="Q23" s="493">
        <f t="shared" si="4"/>
        <v>50628541.101923071</v>
      </c>
      <c r="R23" s="497"/>
    </row>
    <row r="24" spans="1:19">
      <c r="A24" s="480">
        <f t="shared" si="0"/>
        <v>174</v>
      </c>
      <c r="D24" s="486"/>
      <c r="E24" s="486"/>
      <c r="F24" s="486"/>
      <c r="G24" s="486"/>
      <c r="H24" s="486"/>
      <c r="I24" s="486"/>
      <c r="J24" s="486"/>
      <c r="K24" s="486"/>
      <c r="L24" s="486"/>
      <c r="M24" s="486"/>
      <c r="N24" s="486"/>
      <c r="O24" s="486"/>
      <c r="P24" s="486"/>
      <c r="Q24" s="487"/>
      <c r="R24" s="495"/>
    </row>
    <row r="25" spans="1:19">
      <c r="A25" s="480">
        <f t="shared" si="0"/>
        <v>175</v>
      </c>
      <c r="B25" s="24" t="str">
        <f>"Total (Line "&amp;A15&amp;" plus Line "&amp;A17&amp;" plus Line "&amp;A23&amp;")"</f>
        <v>Total (Line 165 plus Line 167 plus Line 173)</v>
      </c>
      <c r="D25" s="486">
        <f t="shared" ref="D25:Q25" si="5">D15+D17+D23</f>
        <v>64484890.919999994</v>
      </c>
      <c r="E25" s="486">
        <f t="shared" si="5"/>
        <v>68660135.329999998</v>
      </c>
      <c r="F25" s="486">
        <f t="shared" si="5"/>
        <v>68545350.020000011</v>
      </c>
      <c r="G25" s="486">
        <f t="shared" si="5"/>
        <v>70833632.590000004</v>
      </c>
      <c r="H25" s="486">
        <f t="shared" si="5"/>
        <v>72247000.640000001</v>
      </c>
      <c r="I25" s="486">
        <f t="shared" si="5"/>
        <v>72949966.939999998</v>
      </c>
      <c r="J25" s="486">
        <f t="shared" si="5"/>
        <v>76361353.030000001</v>
      </c>
      <c r="K25" s="486">
        <f t="shared" si="5"/>
        <v>76359684.469999999</v>
      </c>
      <c r="L25" s="486">
        <f t="shared" si="5"/>
        <v>76541930.010000005</v>
      </c>
      <c r="M25" s="486">
        <f t="shared" si="5"/>
        <v>77644655.099999994</v>
      </c>
      <c r="N25" s="486">
        <f t="shared" si="5"/>
        <v>78217860.269999996</v>
      </c>
      <c r="O25" s="486">
        <f t="shared" si="5"/>
        <v>78528314.560000002</v>
      </c>
      <c r="P25" s="486">
        <f t="shared" si="5"/>
        <v>78969833.140000001</v>
      </c>
      <c r="Q25" s="487">
        <f t="shared" si="5"/>
        <v>73872662.078461528</v>
      </c>
      <c r="S25" s="498"/>
    </row>
    <row r="26" spans="1:19">
      <c r="A26" s="480">
        <f t="shared" si="0"/>
        <v>176</v>
      </c>
      <c r="D26" s="486"/>
      <c r="E26" s="486"/>
      <c r="F26" s="486"/>
      <c r="G26" s="486"/>
      <c r="H26" s="486"/>
      <c r="I26" s="486"/>
      <c r="J26" s="486"/>
      <c r="K26" s="486"/>
      <c r="L26" s="486"/>
      <c r="M26" s="486"/>
      <c r="N26" s="486"/>
      <c r="O26" s="486"/>
      <c r="P26" s="486"/>
      <c r="Q26" s="487"/>
      <c r="R26" s="495"/>
    </row>
    <row r="27" spans="1:19">
      <c r="A27" s="480">
        <f t="shared" si="0"/>
        <v>177</v>
      </c>
      <c r="B27" s="24" t="s">
        <v>504</v>
      </c>
      <c r="D27" s="486"/>
      <c r="E27" s="499"/>
      <c r="F27" s="500"/>
      <c r="G27" s="500"/>
      <c r="H27" s="500"/>
      <c r="I27" s="500"/>
      <c r="J27" s="500"/>
      <c r="K27" s="500"/>
      <c r="L27" s="500"/>
      <c r="M27" s="500"/>
      <c r="N27" s="500"/>
      <c r="O27" s="500"/>
      <c r="P27" s="500"/>
      <c r="Q27" s="501"/>
      <c r="R27" s="495"/>
    </row>
    <row r="28" spans="1:19">
      <c r="A28" s="480">
        <f t="shared" si="0"/>
        <v>178</v>
      </c>
      <c r="B28" s="494" t="s">
        <v>505</v>
      </c>
      <c r="C28" s="22" t="s">
        <v>506</v>
      </c>
      <c r="D28" s="243"/>
      <c r="E28" s="486"/>
      <c r="F28" s="486"/>
      <c r="G28" s="486"/>
      <c r="H28" s="486"/>
      <c r="I28" s="486"/>
      <c r="J28" s="486"/>
      <c r="K28" s="486"/>
      <c r="L28" s="486"/>
      <c r="M28" s="486"/>
      <c r="N28" s="486"/>
      <c r="O28" s="486"/>
      <c r="P28" s="502">
        <v>0</v>
      </c>
      <c r="Q28" s="487"/>
      <c r="R28" s="495"/>
    </row>
    <row r="29" spans="1:19">
      <c r="A29" s="480">
        <f t="shared" si="0"/>
        <v>179</v>
      </c>
      <c r="B29" s="494" t="s">
        <v>507</v>
      </c>
      <c r="C29" s="22" t="s">
        <v>508</v>
      </c>
      <c r="D29" s="243"/>
      <c r="E29" s="486"/>
      <c r="F29" s="486"/>
      <c r="G29" s="486"/>
      <c r="H29" s="486"/>
      <c r="I29" s="486"/>
      <c r="J29" s="486"/>
      <c r="K29" s="486"/>
      <c r="L29" s="486"/>
      <c r="M29" s="503"/>
      <c r="N29" s="486"/>
      <c r="O29" s="486"/>
      <c r="P29" s="502">
        <v>0</v>
      </c>
      <c r="Q29" s="487"/>
    </row>
    <row r="30" spans="1:19">
      <c r="A30" s="480">
        <f t="shared" si="0"/>
        <v>180</v>
      </c>
      <c r="B30" s="494" t="s">
        <v>509</v>
      </c>
      <c r="C30" s="22" t="s">
        <v>510</v>
      </c>
      <c r="D30" s="243"/>
      <c r="E30" s="486"/>
      <c r="F30" s="486"/>
      <c r="G30" s="486"/>
      <c r="H30" s="486"/>
      <c r="I30" s="486"/>
      <c r="J30" s="486"/>
      <c r="K30" s="486"/>
      <c r="L30" s="486"/>
      <c r="M30" s="486"/>
      <c r="N30" s="486"/>
      <c r="O30" s="486"/>
      <c r="P30" s="502">
        <v>0</v>
      </c>
      <c r="Q30" s="487"/>
    </row>
    <row r="31" spans="1:19">
      <c r="A31" s="480">
        <f t="shared" si="0"/>
        <v>181</v>
      </c>
      <c r="B31" s="494" t="s">
        <v>511</v>
      </c>
      <c r="C31" s="22" t="s">
        <v>512</v>
      </c>
      <c r="D31" s="243"/>
      <c r="E31" s="486"/>
      <c r="F31" s="486"/>
      <c r="G31" s="486"/>
      <c r="H31" s="486"/>
      <c r="I31" s="486"/>
      <c r="J31" s="486"/>
      <c r="K31" s="486"/>
      <c r="L31" s="486"/>
      <c r="M31" s="486"/>
      <c r="N31" s="486"/>
      <c r="O31" s="486"/>
      <c r="P31" s="502">
        <v>651496</v>
      </c>
      <c r="Q31" s="487"/>
    </row>
    <row r="32" spans="1:19">
      <c r="A32" s="480">
        <f t="shared" si="0"/>
        <v>182</v>
      </c>
      <c r="B32" s="504" t="s">
        <v>513</v>
      </c>
      <c r="C32" s="22" t="s">
        <v>514</v>
      </c>
      <c r="D32" s="243"/>
      <c r="E32" s="486"/>
      <c r="F32" s="486"/>
      <c r="G32" s="486"/>
      <c r="H32" s="486"/>
      <c r="I32" s="486"/>
      <c r="J32" s="486"/>
      <c r="K32" s="486"/>
      <c r="L32" s="486"/>
      <c r="M32" s="486"/>
      <c r="N32" s="486"/>
      <c r="O32" s="486"/>
      <c r="P32" s="502">
        <v>0</v>
      </c>
      <c r="Q32" s="487"/>
    </row>
    <row r="33" spans="1:17">
      <c r="A33" s="480">
        <f t="shared" si="0"/>
        <v>183</v>
      </c>
      <c r="B33" s="504" t="s">
        <v>515</v>
      </c>
      <c r="C33" s="22" t="s">
        <v>516</v>
      </c>
      <c r="D33" s="243"/>
      <c r="E33" s="486"/>
      <c r="F33" s="486"/>
      <c r="G33" s="486"/>
      <c r="H33" s="486"/>
      <c r="I33" s="486"/>
      <c r="J33" s="486"/>
      <c r="K33" s="486"/>
      <c r="L33" s="486"/>
      <c r="M33" s="486"/>
      <c r="N33" s="486"/>
      <c r="O33" s="486"/>
      <c r="P33" s="505">
        <v>0</v>
      </c>
      <c r="Q33" s="487"/>
    </row>
    <row r="34" spans="1:17">
      <c r="A34" s="480">
        <f>A33+1</f>
        <v>184</v>
      </c>
      <c r="B34" s="494" t="s">
        <v>517</v>
      </c>
      <c r="C34" s="22" t="str">
        <f>"Sum Lines "&amp;A28&amp;" - "&amp;A33</f>
        <v>Sum Lines 178 - 183</v>
      </c>
      <c r="D34" s="486"/>
      <c r="E34" s="486"/>
      <c r="F34" s="486"/>
      <c r="G34" s="486"/>
      <c r="H34" s="486"/>
      <c r="I34" s="486"/>
      <c r="J34" s="486"/>
      <c r="K34" s="486"/>
      <c r="L34" s="486"/>
      <c r="M34" s="486"/>
      <c r="N34" s="486"/>
      <c r="O34" s="486"/>
      <c r="P34" s="486">
        <f>SUM(P28:P33)</f>
        <v>651496</v>
      </c>
      <c r="Q34" s="487"/>
    </row>
    <row r="35" spans="1:17" ht="16.5" thickBot="1">
      <c r="A35" s="480">
        <f t="shared" si="0"/>
        <v>185</v>
      </c>
      <c r="B35" s="488"/>
      <c r="D35" s="486"/>
      <c r="E35" s="486"/>
      <c r="F35" s="486"/>
      <c r="G35" s="486"/>
      <c r="H35" s="486"/>
      <c r="I35" s="486"/>
      <c r="J35" s="486"/>
      <c r="K35" s="486"/>
      <c r="L35" s="486"/>
      <c r="M35" s="486"/>
      <c r="N35" s="486"/>
      <c r="O35" s="486"/>
      <c r="P35" s="486"/>
      <c r="Q35" s="487"/>
    </row>
    <row r="36" spans="1:17" ht="16.5" thickBot="1">
      <c r="A36" s="480">
        <f t="shared" si="0"/>
        <v>186</v>
      </c>
      <c r="B36" s="488" t="str">
        <f>"Average Cost of Debt (Line "&amp;A34&amp;", col (m) / Line "&amp;A15&amp;", col (n))"</f>
        <v>Average Cost of Debt (Line 184, col (m) / Line 165, col (n))</v>
      </c>
      <c r="D36" s="486"/>
      <c r="E36" s="486"/>
      <c r="F36" s="486"/>
      <c r="G36" s="486"/>
      <c r="H36" s="486"/>
      <c r="I36" s="486"/>
      <c r="J36" s="486"/>
      <c r="K36" s="486"/>
      <c r="L36" s="486"/>
      <c r="M36" s="486"/>
      <c r="N36" s="486"/>
      <c r="O36" s="486"/>
      <c r="P36" s="506">
        <f>IF(Q15=0,0,ROUND(P34/Q15,4))</f>
        <v>2.8000000000000001E-2</v>
      </c>
      <c r="Q36" s="487"/>
    </row>
    <row r="37" spans="1:17">
      <c r="A37" s="480">
        <f t="shared" si="0"/>
        <v>187</v>
      </c>
      <c r="B37" s="488"/>
      <c r="D37" s="486"/>
      <c r="E37" s="486"/>
      <c r="F37" s="486"/>
      <c r="G37" s="486"/>
      <c r="H37" s="486"/>
      <c r="I37" s="486"/>
      <c r="J37" s="486"/>
      <c r="K37" s="486"/>
      <c r="L37" s="486"/>
      <c r="M37" s="486"/>
      <c r="N37" s="486"/>
      <c r="O37" s="486"/>
      <c r="P37" s="486"/>
      <c r="Q37" s="487"/>
    </row>
    <row r="38" spans="1:17">
      <c r="A38" s="480">
        <f t="shared" si="0"/>
        <v>188</v>
      </c>
      <c r="B38" s="24" t="s">
        <v>518</v>
      </c>
      <c r="D38" s="486"/>
      <c r="E38" s="486"/>
      <c r="F38" s="486"/>
      <c r="G38" s="486"/>
      <c r="H38" s="486"/>
      <c r="I38" s="486"/>
      <c r="J38" s="486"/>
      <c r="K38" s="486"/>
      <c r="L38" s="486"/>
      <c r="M38" s="486"/>
      <c r="N38" s="486"/>
      <c r="O38" s="486"/>
      <c r="P38" s="486"/>
      <c r="Q38" s="487"/>
    </row>
    <row r="39" spans="1:17">
      <c r="A39" s="480">
        <f t="shared" si="0"/>
        <v>189</v>
      </c>
      <c r="B39" s="488" t="s">
        <v>519</v>
      </c>
      <c r="C39" s="22" t="s">
        <v>520</v>
      </c>
      <c r="D39" s="486"/>
      <c r="E39" s="486"/>
      <c r="F39" s="486"/>
      <c r="G39" s="486"/>
      <c r="H39" s="486"/>
      <c r="I39" s="486"/>
      <c r="J39" s="486"/>
      <c r="K39" s="486"/>
      <c r="L39" s="486"/>
      <c r="M39" s="486"/>
      <c r="N39" s="486"/>
      <c r="O39" s="486"/>
      <c r="P39" s="489">
        <v>0</v>
      </c>
      <c r="Q39" s="487"/>
    </row>
    <row r="40" spans="1:17">
      <c r="A40" s="480">
        <f t="shared" si="0"/>
        <v>190</v>
      </c>
      <c r="B40" s="488"/>
      <c r="D40" s="486"/>
      <c r="E40" s="486"/>
      <c r="F40" s="486"/>
      <c r="G40" s="486"/>
      <c r="H40" s="486"/>
      <c r="I40" s="486"/>
      <c r="J40" s="486"/>
      <c r="K40" s="486"/>
      <c r="L40" s="486"/>
      <c r="M40" s="486"/>
      <c r="N40" s="486"/>
      <c r="O40" s="486"/>
      <c r="P40" s="486"/>
      <c r="Q40" s="487"/>
    </row>
    <row r="41" spans="1:17">
      <c r="A41" s="480">
        <f t="shared" si="0"/>
        <v>191</v>
      </c>
      <c r="B41" s="488" t="str">
        <f>"Average Cost of Preferred Stock (Line "&amp;A39&amp;", col (m) / Line "&amp;A17&amp;", col (n))"</f>
        <v>Average Cost of Preferred Stock (Line 189, col (m) / Line 167, col (n))</v>
      </c>
      <c r="D41" s="486"/>
      <c r="E41" s="486"/>
      <c r="F41" s="486"/>
      <c r="G41" s="486"/>
      <c r="H41" s="486"/>
      <c r="I41" s="486"/>
      <c r="J41" s="486"/>
      <c r="K41" s="486"/>
      <c r="L41" s="486"/>
      <c r="M41" s="486"/>
      <c r="N41" s="486"/>
      <c r="O41" s="486"/>
      <c r="P41" s="486">
        <f>IF(P39=0,0,ROUND(P39/Q17,4))</f>
        <v>0</v>
      </c>
      <c r="Q41" s="487"/>
    </row>
    <row r="42" spans="1:17">
      <c r="A42" s="480"/>
      <c r="B42" s="488"/>
      <c r="D42" s="486"/>
      <c r="E42" s="486"/>
      <c r="F42" s="486"/>
      <c r="G42" s="486"/>
      <c r="H42" s="486"/>
      <c r="I42" s="486"/>
      <c r="J42" s="486"/>
      <c r="K42" s="486"/>
      <c r="L42" s="486"/>
      <c r="M42" s="486"/>
      <c r="N42" s="486"/>
      <c r="O42" s="486"/>
      <c r="P42" s="486"/>
      <c r="Q42" s="487"/>
    </row>
    <row r="43" spans="1:17">
      <c r="A43" s="480"/>
      <c r="B43" s="152" t="s">
        <v>521</v>
      </c>
      <c r="C43" s="152"/>
      <c r="D43" s="152"/>
      <c r="E43" s="152"/>
      <c r="F43" s="152"/>
      <c r="G43" s="152"/>
      <c r="H43" s="486"/>
      <c r="I43" s="486"/>
      <c r="J43" s="486"/>
      <c r="K43" s="486"/>
      <c r="L43" s="486"/>
      <c r="M43" s="486"/>
      <c r="N43" s="486"/>
      <c r="O43" s="486"/>
      <c r="P43" s="486"/>
      <c r="Q43" s="487"/>
    </row>
    <row r="44" spans="1:17">
      <c r="A44" s="480"/>
      <c r="B44" s="24" t="s">
        <v>522</v>
      </c>
      <c r="D44" s="486"/>
      <c r="E44" s="486"/>
      <c r="F44" s="486"/>
      <c r="G44" s="486"/>
      <c r="H44" s="486"/>
      <c r="I44" s="486"/>
      <c r="J44" s="486"/>
      <c r="K44" s="486"/>
      <c r="L44" s="486"/>
      <c r="M44" s="486"/>
      <c r="N44" s="486"/>
      <c r="O44" s="486"/>
      <c r="P44" s="486"/>
      <c r="Q44" s="487"/>
    </row>
    <row r="45" spans="1:17" ht="16.5" thickBot="1">
      <c r="A45" s="507"/>
      <c r="B45" s="314"/>
      <c r="C45" s="314"/>
      <c r="D45" s="508"/>
      <c r="E45" s="508"/>
      <c r="F45" s="508"/>
      <c r="G45" s="508"/>
      <c r="H45" s="508"/>
      <c r="I45" s="508"/>
      <c r="J45" s="508"/>
      <c r="K45" s="508"/>
      <c r="L45" s="508"/>
      <c r="M45" s="508"/>
      <c r="N45" s="508"/>
      <c r="O45" s="508"/>
      <c r="P45" s="508"/>
      <c r="Q45" s="509"/>
    </row>
    <row r="46" spans="1:17">
      <c r="D46" s="32"/>
      <c r="E46" s="32"/>
      <c r="F46" s="32"/>
      <c r="G46" s="32"/>
      <c r="H46" s="32"/>
      <c r="I46" s="32"/>
      <c r="J46" s="32"/>
      <c r="K46" s="32"/>
      <c r="L46" s="32"/>
      <c r="M46" s="32"/>
      <c r="N46" s="32"/>
      <c r="O46" s="32"/>
      <c r="P46" s="32"/>
      <c r="Q46" s="32"/>
    </row>
  </sheetData>
  <mergeCells count="3">
    <mergeCell ref="A4:F4"/>
    <mergeCell ref="H4:M4"/>
    <mergeCell ref="B43:G43"/>
  </mergeCells>
  <pageMargins left="0.7" right="0.7" top="0.75" bottom="0.75" header="0.3" footer="0.3"/>
  <pageSetup scale="4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17774-2FAE-49EB-8642-8EE11D5A653E}">
  <dimension ref="A1:L57"/>
  <sheetViews>
    <sheetView view="pageBreakPreview" zoomScale="90" zoomScaleNormal="100" zoomScaleSheetLayoutView="90" workbookViewId="0">
      <selection activeCell="G16" sqref="G16"/>
    </sheetView>
  </sheetViews>
  <sheetFormatPr defaultRowHeight="15"/>
  <cols>
    <col min="2" max="2" width="23.5546875" customWidth="1"/>
    <col min="3" max="3" width="43.88671875" customWidth="1"/>
    <col min="4" max="4" width="11.21875" bestFit="1" customWidth="1"/>
    <col min="9" max="9" width="10.88671875" bestFit="1" customWidth="1"/>
    <col min="10" max="10" width="15.44140625" customWidth="1"/>
  </cols>
  <sheetData>
    <row r="1" spans="1:10" ht="15.75" customHeight="1">
      <c r="A1" s="510" t="s">
        <v>523</v>
      </c>
      <c r="B1" s="510"/>
      <c r="C1" s="510"/>
      <c r="D1" s="510"/>
      <c r="E1" s="510"/>
      <c r="F1" s="510"/>
      <c r="G1" s="510"/>
      <c r="H1" s="510"/>
      <c r="I1" s="510"/>
      <c r="J1" s="510"/>
    </row>
    <row r="2" spans="1:10" ht="15.75">
      <c r="A2" s="511"/>
      <c r="B2" s="511"/>
      <c r="C2" s="511"/>
      <c r="D2" s="511"/>
      <c r="E2" s="511"/>
      <c r="F2" s="511"/>
      <c r="G2" s="511"/>
      <c r="H2" s="511"/>
      <c r="I2" s="511"/>
      <c r="J2" s="511"/>
    </row>
    <row r="3" spans="1:10" ht="15.75">
      <c r="A3" s="512" t="s">
        <v>524</v>
      </c>
      <c r="B3" s="15"/>
      <c r="C3" s="15"/>
      <c r="D3" s="15"/>
      <c r="E3" s="15"/>
      <c r="F3" s="15"/>
      <c r="G3" s="15"/>
      <c r="H3" s="15"/>
      <c r="I3" s="15"/>
      <c r="J3" s="15"/>
    </row>
    <row r="4" spans="1:10" ht="15.75">
      <c r="A4" s="36"/>
      <c r="B4" s="513"/>
      <c r="C4" s="513"/>
      <c r="D4" s="513"/>
      <c r="E4" s="513"/>
      <c r="F4" s="513"/>
      <c r="G4" s="513"/>
      <c r="H4" s="513"/>
      <c r="I4" s="513"/>
      <c r="J4" s="513"/>
    </row>
    <row r="5" spans="1:10" ht="15.75">
      <c r="A5" s="36"/>
      <c r="B5" s="513"/>
      <c r="C5" s="513"/>
      <c r="D5" s="513"/>
      <c r="E5" s="513"/>
      <c r="F5" s="514"/>
      <c r="G5" s="513"/>
      <c r="H5" s="513"/>
      <c r="I5" s="513"/>
      <c r="J5" s="513"/>
    </row>
    <row r="6" spans="1:10" ht="15.75">
      <c r="A6" s="515" t="s">
        <v>525</v>
      </c>
      <c r="B6" s="513"/>
      <c r="C6" s="513"/>
    </row>
    <row r="7" spans="1:10" ht="15.75">
      <c r="A7" s="36"/>
      <c r="B7" s="516" t="s">
        <v>186</v>
      </c>
      <c r="C7" s="516" t="s">
        <v>188</v>
      </c>
      <c r="D7" s="517" t="s">
        <v>190</v>
      </c>
      <c r="E7" s="516" t="s">
        <v>193</v>
      </c>
      <c r="F7" s="516" t="s">
        <v>196</v>
      </c>
      <c r="G7" s="516" t="s">
        <v>198</v>
      </c>
      <c r="H7" s="516" t="s">
        <v>207</v>
      </c>
      <c r="I7" s="23" t="s">
        <v>209</v>
      </c>
      <c r="J7" s="518" t="s">
        <v>211</v>
      </c>
    </row>
    <row r="8" spans="1:10" ht="15.75">
      <c r="A8" s="36">
        <v>1</v>
      </c>
      <c r="B8" s="24" t="s">
        <v>526</v>
      </c>
      <c r="C8" s="24" t="s">
        <v>527</v>
      </c>
      <c r="D8" s="24"/>
      <c r="E8" s="24"/>
      <c r="F8" s="24"/>
      <c r="G8" s="24"/>
      <c r="H8" s="24"/>
      <c r="I8" s="24"/>
      <c r="J8" s="36">
        <f>+'Appendix III'!J97</f>
        <v>42014019.056108467</v>
      </c>
    </row>
    <row r="9" spans="1:10" ht="15.75">
      <c r="A9" s="36"/>
      <c r="B9" s="24"/>
      <c r="C9" s="24"/>
      <c r="D9" s="24"/>
      <c r="E9" s="24"/>
      <c r="F9" s="24"/>
      <c r="G9" s="24"/>
      <c r="H9" s="24"/>
      <c r="I9" s="24"/>
      <c r="J9" s="36"/>
    </row>
    <row r="10" spans="1:10" ht="16.5" thickBot="1">
      <c r="A10" s="82">
        <f>+A8+1</f>
        <v>2</v>
      </c>
      <c r="B10" s="519" t="s">
        <v>528</v>
      </c>
      <c r="C10" s="520"/>
      <c r="D10" s="520"/>
      <c r="E10" s="520"/>
      <c r="F10" s="520"/>
      <c r="G10" s="520"/>
      <c r="H10" s="520"/>
      <c r="I10" s="521" t="s">
        <v>157</v>
      </c>
      <c r="J10" s="36"/>
    </row>
    <row r="11" spans="1:10" ht="15.75">
      <c r="A11" s="82"/>
      <c r="B11" s="522"/>
      <c r="C11" s="520"/>
      <c r="D11" s="520"/>
      <c r="E11" s="520"/>
      <c r="F11" s="520"/>
      <c r="G11" s="523" t="s">
        <v>166</v>
      </c>
      <c r="H11" s="520"/>
      <c r="I11" s="520"/>
      <c r="J11" s="36"/>
    </row>
    <row r="12" spans="1:10" ht="16.5" thickBot="1">
      <c r="A12" s="82"/>
      <c r="B12" s="24"/>
      <c r="C12" s="522"/>
      <c r="D12" s="524" t="s">
        <v>157</v>
      </c>
      <c r="E12" s="524" t="s">
        <v>165</v>
      </c>
      <c r="F12" s="520"/>
      <c r="G12" s="524" t="s">
        <v>0</v>
      </c>
      <c r="H12" s="520"/>
      <c r="I12" s="524" t="s">
        <v>167</v>
      </c>
      <c r="J12" s="36"/>
    </row>
    <row r="13" spans="1:10" ht="15.75">
      <c r="A13" s="82">
        <f>+A10+1</f>
        <v>3</v>
      </c>
      <c r="B13" s="519" t="s">
        <v>529</v>
      </c>
      <c r="C13" s="522" t="s">
        <v>530</v>
      </c>
      <c r="D13" s="525">
        <f>+'Appendix III'!E187</f>
        <v>23244120.976538461</v>
      </c>
      <c r="E13" s="119">
        <f>+'Appendix III'!F187</f>
        <v>0.31465118925659463</v>
      </c>
      <c r="F13" s="526"/>
      <c r="G13" s="127">
        <f>+'Appendix III'!H187</f>
        <v>2.8000000000000001E-2</v>
      </c>
      <c r="H13" s="527"/>
      <c r="I13" s="35">
        <f>E13*G13</f>
        <v>8.8102332991846499E-3</v>
      </c>
      <c r="J13" s="36"/>
    </row>
    <row r="14" spans="1:10" ht="15.75">
      <c r="A14" s="82">
        <f>+A13+1</f>
        <v>4</v>
      </c>
      <c r="B14" s="519" t="s">
        <v>531</v>
      </c>
      <c r="C14" s="522" t="s">
        <v>532</v>
      </c>
      <c r="D14" s="525">
        <f>+'Appendix III'!E188</f>
        <v>0</v>
      </c>
      <c r="E14" s="119">
        <f>+'Appendix III'!F188</f>
        <v>0</v>
      </c>
      <c r="F14" s="526"/>
      <c r="G14" s="127">
        <f>+'Appendix III'!H188</f>
        <v>0</v>
      </c>
      <c r="H14" s="527"/>
      <c r="I14" s="35">
        <f>E14*G14</f>
        <v>0</v>
      </c>
      <c r="J14" s="36"/>
    </row>
    <row r="15" spans="1:10" ht="16.5" thickBot="1">
      <c r="A15" s="82">
        <f>+A14+1</f>
        <v>5</v>
      </c>
      <c r="B15" s="519" t="s">
        <v>533</v>
      </c>
      <c r="C15" s="527"/>
      <c r="D15" s="528">
        <f>+'Appendix III'!E189</f>
        <v>50628541.101923071</v>
      </c>
      <c r="E15" s="119">
        <f>+'Appendix III'!F189</f>
        <v>0.68534881074340537</v>
      </c>
      <c r="F15" s="526"/>
      <c r="G15" s="127">
        <f>+'Appendix III'!H189+0.01</f>
        <v>0.11199999999999999</v>
      </c>
      <c r="H15" s="527"/>
      <c r="I15" s="529">
        <f>E15*G15</f>
        <v>7.6759066803261389E-2</v>
      </c>
      <c r="J15" s="36"/>
    </row>
    <row r="16" spans="1:10" ht="15.75">
      <c r="A16" s="82">
        <f>+A15+1</f>
        <v>6</v>
      </c>
      <c r="B16" s="522" t="s">
        <v>534</v>
      </c>
      <c r="C16" s="527"/>
      <c r="D16" s="525">
        <f>SUM(D13:D15)</f>
        <v>73872662.078461528</v>
      </c>
      <c r="E16" s="520" t="s">
        <v>3</v>
      </c>
      <c r="F16" s="520"/>
      <c r="G16" s="520"/>
      <c r="H16" s="520"/>
      <c r="I16" s="35">
        <f>SUM(I13:I15)</f>
        <v>8.5569300102446039E-2</v>
      </c>
      <c r="J16" s="36"/>
    </row>
    <row r="17" spans="1:12" ht="15.75">
      <c r="A17" s="82">
        <f t="shared" ref="A17:A39" si="0">+A16+1</f>
        <v>7</v>
      </c>
      <c r="B17" s="522" t="s">
        <v>535</v>
      </c>
      <c r="C17" s="527"/>
      <c r="D17" s="525"/>
      <c r="E17" s="520"/>
      <c r="F17" s="520"/>
      <c r="G17" s="520"/>
      <c r="H17" s="520"/>
      <c r="I17" s="526"/>
      <c r="J17" s="36">
        <f>+I16*J8</f>
        <v>3595110.2051220322</v>
      </c>
    </row>
    <row r="18" spans="1:12" ht="15.75">
      <c r="A18" s="82"/>
      <c r="B18" s="24"/>
      <c r="C18" s="24"/>
      <c r="D18" s="24"/>
      <c r="E18" s="24"/>
      <c r="F18" s="24"/>
      <c r="G18" s="24"/>
      <c r="H18" s="24"/>
      <c r="I18" s="24"/>
      <c r="J18" s="36"/>
    </row>
    <row r="19" spans="1:12" ht="15.75">
      <c r="A19" s="82">
        <f>+A17+1</f>
        <v>8</v>
      </c>
      <c r="B19" s="522" t="s">
        <v>136</v>
      </c>
      <c r="C19" s="520"/>
      <c r="D19" s="520"/>
      <c r="E19" s="520"/>
      <c r="F19" s="527"/>
      <c r="G19" s="530"/>
      <c r="H19" s="520"/>
      <c r="I19" s="527"/>
      <c r="J19" s="36"/>
    </row>
    <row r="20" spans="1:12" ht="15.75">
      <c r="A20" s="82">
        <f t="shared" si="0"/>
        <v>9</v>
      </c>
      <c r="B20" s="94" t="s">
        <v>137</v>
      </c>
      <c r="C20" s="9"/>
      <c r="D20" s="93">
        <f>+'Appendix III'!E137</f>
        <v>0.27983599999999997</v>
      </c>
      <c r="E20" s="520"/>
      <c r="F20" s="527"/>
      <c r="G20" s="530"/>
      <c r="H20" s="520"/>
      <c r="I20" s="527"/>
      <c r="J20" s="36"/>
    </row>
    <row r="21" spans="1:12" ht="15.75">
      <c r="A21" s="82">
        <f t="shared" si="0"/>
        <v>10</v>
      </c>
      <c r="B21" s="2" t="s">
        <v>138</v>
      </c>
      <c r="C21" s="9"/>
      <c r="D21" s="93">
        <f>IF(I16&gt;0,(D20/(1-D20))*(1-I13/I16),0)</f>
        <v>0.3485650852438355</v>
      </c>
      <c r="E21" s="520"/>
      <c r="F21" s="527"/>
      <c r="G21" s="530"/>
      <c r="H21" s="520"/>
      <c r="I21" s="527"/>
      <c r="J21" s="36"/>
    </row>
    <row r="22" spans="1:12" ht="15.75">
      <c r="A22" s="82">
        <f t="shared" si="0"/>
        <v>11</v>
      </c>
      <c r="B22" s="2" t="str">
        <f>"       where WCLTD=(line "&amp;A13&amp;") and R= (line "&amp;A16&amp;")"</f>
        <v xml:space="preserve">       where WCLTD=(line 3) and R= (line 6)</v>
      </c>
      <c r="C22" s="9"/>
      <c r="D22" s="9"/>
      <c r="E22" s="520"/>
      <c r="F22" s="527"/>
      <c r="G22" s="530"/>
      <c r="H22" s="520"/>
      <c r="I22" s="527"/>
      <c r="J22" s="36"/>
    </row>
    <row r="23" spans="1:12" ht="15.75">
      <c r="A23" s="82">
        <f t="shared" si="0"/>
        <v>12</v>
      </c>
      <c r="B23" s="2" t="str">
        <f>"       and FIT, SIT &amp; p are as given in footnote "&amp;'Appendix III'!A228&amp;" on Appendix III."</f>
        <v xml:space="preserve">       and FIT, SIT &amp; p are as given in footnote F on Appendix III.</v>
      </c>
      <c r="C23" s="9"/>
      <c r="D23" s="9"/>
      <c r="E23" s="520"/>
      <c r="F23" s="527"/>
      <c r="G23" s="530"/>
      <c r="H23" s="520"/>
      <c r="I23" s="527"/>
      <c r="J23" s="36"/>
    </row>
    <row r="24" spans="1:12" ht="15.75">
      <c r="A24" s="82">
        <f t="shared" si="0"/>
        <v>13</v>
      </c>
      <c r="B24" s="94" t="str">
        <f>"      1 / (1 - T)  = (T from line "&amp;A20&amp;")"</f>
        <v xml:space="preserve">      1 / (1 - T)  = (T from line 9)</v>
      </c>
      <c r="C24" s="9"/>
      <c r="D24" s="93">
        <f>IF(D20&gt;0,1/(1-D20),0)</f>
        <v>1.3885726029071155</v>
      </c>
      <c r="E24" s="520"/>
      <c r="F24" s="527"/>
      <c r="G24" s="530"/>
      <c r="H24" s="520"/>
      <c r="I24" s="527"/>
      <c r="J24" s="36"/>
    </row>
    <row r="25" spans="1:12" ht="15.75">
      <c r="A25" s="82">
        <f t="shared" si="0"/>
        <v>14</v>
      </c>
      <c r="B25" s="2" t="s">
        <v>536</v>
      </c>
      <c r="C25" s="9"/>
      <c r="D25" s="56">
        <f>+'Appendix III'!E142</f>
        <v>0</v>
      </c>
      <c r="E25" s="520"/>
      <c r="F25" s="527"/>
      <c r="G25" s="530"/>
      <c r="H25" s="520"/>
      <c r="I25" s="527"/>
      <c r="J25" s="36"/>
    </row>
    <row r="26" spans="1:12" ht="15.75">
      <c r="A26" s="82">
        <f t="shared" si="0"/>
        <v>15</v>
      </c>
      <c r="B26" s="2"/>
      <c r="C26" s="9"/>
      <c r="D26" s="36"/>
      <c r="E26" s="520"/>
      <c r="F26" s="527"/>
      <c r="G26" s="97"/>
      <c r="H26" s="520"/>
      <c r="I26" s="527"/>
      <c r="J26" s="36"/>
    </row>
    <row r="27" spans="1:12" ht="15.75">
      <c r="A27" s="82">
        <f t="shared" si="0"/>
        <v>16</v>
      </c>
      <c r="B27" s="94" t="str">
        <f>"Income Tax Calculation = line "&amp;A21&amp;" * line "&amp;A17&amp;""</f>
        <v>Income Tax Calculation = line 10 * line 7</v>
      </c>
      <c r="C27" s="96"/>
      <c r="D27" s="56">
        <f>+J17*D21</f>
        <v>1253129.895109344</v>
      </c>
      <c r="E27" s="520"/>
      <c r="F27" s="531"/>
      <c r="G27" s="532"/>
      <c r="H27" s="531"/>
      <c r="I27" s="36">
        <f>+J17*D21</f>
        <v>1253129.895109344</v>
      </c>
      <c r="J27" s="36"/>
    </row>
    <row r="28" spans="1:12" ht="15.75">
      <c r="A28" s="82">
        <f t="shared" si="0"/>
        <v>17</v>
      </c>
      <c r="B28" s="69" t="str">
        <f>"ITC adjustment (line "&amp;A24&amp;" * line "&amp;A25&amp;") and line 17 allocated on NP allocator"</f>
        <v>ITC adjustment (line 13 * line 14) and line 17 allocated on NP allocator</v>
      </c>
      <c r="C28" s="533"/>
      <c r="D28" s="73">
        <f>+D24*D25</f>
        <v>0</v>
      </c>
      <c r="E28" s="531"/>
      <c r="F28" s="534" t="s">
        <v>83</v>
      </c>
      <c r="G28" s="119">
        <f>+'Appendix III'!H78</f>
        <v>1</v>
      </c>
      <c r="H28" s="531"/>
      <c r="I28" s="97">
        <f>G28*D28</f>
        <v>0</v>
      </c>
      <c r="J28" s="36"/>
    </row>
    <row r="29" spans="1:12" ht="15.75">
      <c r="A29" s="82">
        <f t="shared" si="0"/>
        <v>18</v>
      </c>
      <c r="B29" s="107" t="s">
        <v>145</v>
      </c>
      <c r="C29" s="2" t="str">
        <f>"(line "&amp;A27&amp;" plus line "&amp;A28&amp;")"</f>
        <v>(line 16 plus line 17)</v>
      </c>
      <c r="D29" s="535">
        <f>+D28+D27</f>
        <v>1253129.895109344</v>
      </c>
      <c r="E29" s="531"/>
      <c r="F29" s="24"/>
      <c r="G29" s="24"/>
      <c r="H29" s="24"/>
      <c r="I29" s="24"/>
      <c r="J29" s="36">
        <f>+I28+I27</f>
        <v>1253129.895109344</v>
      </c>
    </row>
    <row r="30" spans="1:12" ht="6.75" customHeight="1">
      <c r="A30" s="82"/>
      <c r="B30" s="527"/>
      <c r="C30" s="536"/>
      <c r="D30" s="108"/>
      <c r="E30" s="531"/>
      <c r="F30" s="534"/>
      <c r="G30" s="119"/>
      <c r="H30" s="531"/>
      <c r="I30" s="108"/>
      <c r="J30" s="36"/>
    </row>
    <row r="31" spans="1:12" ht="0.75" hidden="1" customHeight="1">
      <c r="A31" s="82"/>
      <c r="B31" s="24"/>
      <c r="C31" s="24"/>
      <c r="D31" s="24"/>
      <c r="E31" s="24"/>
      <c r="F31" s="24"/>
      <c r="G31" s="24"/>
      <c r="H31" s="24"/>
      <c r="I31" s="24"/>
      <c r="J31" s="36"/>
      <c r="K31" s="537"/>
      <c r="L31" s="537"/>
    </row>
    <row r="32" spans="1:12" ht="15.75">
      <c r="A32" s="82">
        <f>+A29+1</f>
        <v>19</v>
      </c>
      <c r="B32" s="527" t="s">
        <v>537</v>
      </c>
      <c r="C32" s="24"/>
      <c r="D32" s="24"/>
      <c r="E32" s="24" t="s">
        <v>538</v>
      </c>
      <c r="F32" s="24"/>
      <c r="G32" s="24"/>
      <c r="H32" s="24"/>
      <c r="I32" s="24"/>
      <c r="J32" s="36">
        <f>+J29+J17</f>
        <v>4848240.1002313765</v>
      </c>
      <c r="K32" s="537"/>
      <c r="L32" s="537"/>
    </row>
    <row r="33" spans="1:12" ht="4.5" customHeight="1">
      <c r="A33" s="538"/>
      <c r="B33" s="24"/>
      <c r="C33" s="24"/>
      <c r="D33" s="24"/>
      <c r="E33" s="24"/>
      <c r="F33" s="24"/>
      <c r="G33" s="24"/>
      <c r="H33" s="24"/>
      <c r="I33" s="24"/>
      <c r="J33" s="36"/>
      <c r="K33" s="537"/>
      <c r="L33" s="537"/>
    </row>
    <row r="34" spans="1:12" ht="15.75">
      <c r="A34" s="538">
        <f>+A32+1</f>
        <v>20</v>
      </c>
      <c r="B34" s="24" t="str">
        <f>"Return    (Appendix III line "&amp;'Appendix III'!A151&amp;" col 5)"</f>
        <v>Return    (Appendix III line 64 col 5)</v>
      </c>
      <c r="C34" s="24"/>
      <c r="D34" s="24"/>
      <c r="E34" s="24"/>
      <c r="F34" s="24"/>
      <c r="G34" s="24"/>
      <c r="H34" s="24"/>
      <c r="I34" s="24"/>
      <c r="J34" s="36">
        <f>+'Appendix III'!J151</f>
        <v>3307167.6251754849</v>
      </c>
      <c r="K34" s="537"/>
      <c r="L34" s="537"/>
    </row>
    <row r="35" spans="1:12" ht="15.75">
      <c r="A35" s="538">
        <f t="shared" si="0"/>
        <v>21</v>
      </c>
      <c r="B35" s="24" t="str">
        <f>"Income Tax    (Appendix III line "&amp;'Appendix III'!A148&amp;" col 5)"</f>
        <v>Income Tax    (Appendix III line 62 col 5)</v>
      </c>
      <c r="C35" s="24"/>
      <c r="D35" s="24"/>
      <c r="E35" s="24"/>
      <c r="F35" s="24"/>
      <c r="G35" s="24"/>
      <c r="H35" s="24"/>
      <c r="I35" s="24"/>
      <c r="J35" s="36">
        <f>+'Appendix III'!J148</f>
        <v>940557.98225349165</v>
      </c>
      <c r="K35" s="537"/>
      <c r="L35" s="537"/>
    </row>
    <row r="36" spans="1:12" ht="15.75">
      <c r="A36" s="538">
        <f t="shared" si="0"/>
        <v>22</v>
      </c>
      <c r="B36" s="527" t="s">
        <v>539</v>
      </c>
      <c r="C36" s="24"/>
      <c r="D36" s="24"/>
      <c r="E36" s="24" t="s">
        <v>540</v>
      </c>
      <c r="F36" s="24"/>
      <c r="G36" s="24"/>
      <c r="H36" s="24"/>
      <c r="I36" s="24"/>
      <c r="J36" s="73">
        <f>+J34+J35</f>
        <v>4247725.6074289763</v>
      </c>
      <c r="K36" s="537"/>
      <c r="L36" s="537"/>
    </row>
    <row r="37" spans="1:12" ht="15.75">
      <c r="A37" s="538">
        <f t="shared" si="0"/>
        <v>23</v>
      </c>
      <c r="B37" s="527" t="s">
        <v>541</v>
      </c>
      <c r="C37" s="24"/>
      <c r="D37" s="24"/>
      <c r="E37" s="24" t="s">
        <v>542</v>
      </c>
      <c r="F37" s="24"/>
      <c r="G37" s="24"/>
      <c r="H37" s="24"/>
      <c r="I37" s="24"/>
      <c r="J37" s="36">
        <f>+J32-J36</f>
        <v>600514.49280240014</v>
      </c>
      <c r="K37" s="537"/>
      <c r="L37" s="537"/>
    </row>
    <row r="38" spans="1:12" ht="15.75">
      <c r="A38" s="538">
        <f t="shared" si="0"/>
        <v>24</v>
      </c>
      <c r="B38" s="24" t="s">
        <v>543</v>
      </c>
      <c r="C38" s="24"/>
      <c r="D38" s="24"/>
      <c r="E38" s="24" t="str">
        <f>"Appendix III, line "&amp;'Appendix III'!A$199&amp;"(a)"</f>
        <v>Appendix III, line 88(a)</v>
      </c>
      <c r="F38" s="24"/>
      <c r="G38" s="24"/>
      <c r="H38" s="24"/>
      <c r="I38" s="24"/>
      <c r="J38" s="36">
        <f>+'Appendix III'!H199</f>
        <v>46421067.358287849</v>
      </c>
      <c r="K38" s="537"/>
      <c r="L38" s="537"/>
    </row>
    <row r="39" spans="1:12" ht="15.75">
      <c r="A39" s="538">
        <f t="shared" si="0"/>
        <v>25</v>
      </c>
      <c r="B39" s="24" t="s">
        <v>544</v>
      </c>
      <c r="C39" s="24"/>
      <c r="D39" s="24"/>
      <c r="E39" s="24" t="s">
        <v>545</v>
      </c>
      <c r="F39" s="24"/>
      <c r="G39" s="24"/>
      <c r="H39" s="24"/>
      <c r="I39" s="24"/>
      <c r="J39" s="35">
        <f>IF(J38=0,0,J37/J38)</f>
        <v>1.2936249142388289E-2</v>
      </c>
      <c r="K39" s="537"/>
      <c r="L39" s="537"/>
    </row>
    <row r="40" spans="1:12" ht="15.75">
      <c r="A40" s="24"/>
      <c r="B40" s="24"/>
      <c r="C40" s="24"/>
      <c r="D40" s="24"/>
      <c r="E40" s="24"/>
      <c r="F40" s="24"/>
      <c r="G40" s="24"/>
      <c r="H40" s="24"/>
      <c r="I40" s="24"/>
      <c r="J40" s="36"/>
      <c r="K40" s="537"/>
      <c r="L40" s="537"/>
    </row>
    <row r="41" spans="1:12" ht="15.75">
      <c r="A41" s="539" t="s">
        <v>546</v>
      </c>
      <c r="B41" s="24"/>
      <c r="C41" s="24"/>
      <c r="D41" s="24"/>
      <c r="E41" s="24"/>
      <c r="F41" s="24"/>
      <c r="G41" s="24"/>
      <c r="H41" s="24"/>
      <c r="I41" s="24"/>
      <c r="J41" s="24"/>
      <c r="K41" s="537"/>
      <c r="L41" s="537"/>
    </row>
    <row r="42" spans="1:12" ht="15.75">
      <c r="A42" s="539" t="s">
        <v>547</v>
      </c>
      <c r="B42" s="24"/>
      <c r="C42" s="24"/>
      <c r="D42" s="24"/>
      <c r="E42" s="24"/>
      <c r="F42" s="24"/>
      <c r="G42" s="24"/>
      <c r="H42" s="24"/>
      <c r="I42" s="24"/>
      <c r="J42" s="24"/>
      <c r="K42" s="537"/>
      <c r="L42" s="537"/>
    </row>
    <row r="43" spans="1:12" ht="15.75">
      <c r="A43" s="539" t="s">
        <v>548</v>
      </c>
      <c r="B43" s="24"/>
      <c r="C43" s="24"/>
      <c r="D43" s="24"/>
      <c r="E43" s="24"/>
      <c r="F43" s="24"/>
      <c r="G43" s="24"/>
      <c r="H43" s="24"/>
      <c r="I43" s="24"/>
      <c r="J43" s="24"/>
      <c r="K43" s="537"/>
      <c r="L43" s="537"/>
    </row>
    <row r="44" spans="1:12" ht="15.75">
      <c r="A44" s="539" t="s">
        <v>549</v>
      </c>
      <c r="B44" s="24"/>
      <c r="C44" s="24"/>
      <c r="D44" s="24"/>
      <c r="E44" s="24"/>
      <c r="F44" s="24"/>
      <c r="G44" s="24"/>
      <c r="H44" s="24"/>
      <c r="I44" s="24"/>
      <c r="J44" s="24"/>
      <c r="K44" s="537"/>
      <c r="L44" s="537"/>
    </row>
    <row r="45" spans="1:12" ht="15.75">
      <c r="A45" s="539"/>
      <c r="B45" s="24"/>
      <c r="C45" s="24"/>
      <c r="D45" s="24"/>
      <c r="E45" s="24"/>
      <c r="F45" s="24"/>
      <c r="G45" s="24"/>
      <c r="H45" s="24"/>
      <c r="I45" s="24"/>
      <c r="J45" s="24"/>
      <c r="K45" s="537"/>
      <c r="L45" s="537"/>
    </row>
    <row r="46" spans="1:12" ht="15.75">
      <c r="A46" s="24"/>
      <c r="B46" s="24" t="s">
        <v>550</v>
      </c>
      <c r="C46" s="24"/>
      <c r="D46" s="24"/>
      <c r="E46" s="24"/>
      <c r="F46" s="24"/>
      <c r="G46" s="24"/>
      <c r="H46" s="24"/>
      <c r="I46" s="24"/>
      <c r="J46" s="24"/>
    </row>
    <row r="47" spans="1:12" ht="15.75">
      <c r="A47" s="24"/>
      <c r="B47" s="540" t="s">
        <v>551</v>
      </c>
      <c r="C47" s="540" t="s">
        <v>446</v>
      </c>
      <c r="D47" s="24"/>
      <c r="E47" s="24"/>
      <c r="F47" s="24"/>
      <c r="G47" s="24"/>
      <c r="H47" s="24"/>
      <c r="I47" s="24"/>
      <c r="J47" s="24"/>
    </row>
    <row r="48" spans="1:12" ht="15.75">
      <c r="A48" s="24"/>
      <c r="B48" s="541"/>
      <c r="C48" s="541"/>
      <c r="D48" s="24"/>
      <c r="E48" s="24"/>
      <c r="F48" s="24"/>
      <c r="G48" s="24"/>
      <c r="H48" s="24"/>
      <c r="I48" s="24"/>
      <c r="J48" s="24"/>
    </row>
    <row r="49" spans="1:10" ht="15.75">
      <c r="A49" s="24"/>
      <c r="B49" s="541"/>
      <c r="C49" s="541"/>
      <c r="D49" s="24"/>
      <c r="E49" s="24"/>
      <c r="F49" s="24"/>
      <c r="G49" s="24"/>
      <c r="H49" s="24"/>
      <c r="I49" s="24"/>
      <c r="J49" s="24"/>
    </row>
    <row r="50" spans="1:10" ht="15.75">
      <c r="A50" s="24"/>
      <c r="B50" s="541"/>
      <c r="C50" s="541"/>
      <c r="D50" s="24"/>
      <c r="E50" s="24"/>
      <c r="F50" s="24"/>
      <c r="G50" s="24"/>
      <c r="H50" s="24"/>
      <c r="I50" s="24"/>
      <c r="J50" s="24"/>
    </row>
    <row r="51" spans="1:10" ht="15.75">
      <c r="A51" s="24"/>
      <c r="B51" s="24"/>
      <c r="C51" s="24"/>
      <c r="D51" s="24"/>
      <c r="E51" s="24"/>
      <c r="F51" s="24"/>
      <c r="G51" s="24"/>
      <c r="H51" s="24"/>
      <c r="I51" s="24"/>
      <c r="J51" s="24"/>
    </row>
    <row r="52" spans="1:10" ht="15.75">
      <c r="A52" s="24"/>
      <c r="B52" s="24"/>
      <c r="C52" s="24"/>
      <c r="D52" s="24"/>
      <c r="E52" s="24"/>
      <c r="F52" s="24"/>
      <c r="G52" s="24"/>
      <c r="H52" s="24"/>
      <c r="I52" s="24"/>
      <c r="J52" s="24"/>
    </row>
    <row r="53" spans="1:10" ht="15.75">
      <c r="A53" s="24"/>
      <c r="B53" s="24"/>
      <c r="C53" s="24"/>
      <c r="D53" s="24"/>
      <c r="E53" s="24"/>
      <c r="F53" s="24"/>
      <c r="G53" s="24"/>
      <c r="H53" s="24"/>
      <c r="I53" s="24"/>
      <c r="J53" s="24"/>
    </row>
    <row r="54" spans="1:10" ht="15.75">
      <c r="A54" s="24"/>
      <c r="B54" s="24"/>
      <c r="C54" s="24"/>
      <c r="D54" s="24"/>
      <c r="E54" s="24"/>
      <c r="F54" s="24"/>
      <c r="G54" s="24"/>
      <c r="H54" s="24"/>
      <c r="I54" s="24"/>
      <c r="J54" s="24"/>
    </row>
    <row r="55" spans="1:10" ht="15.75">
      <c r="A55" s="24"/>
      <c r="B55" s="24"/>
      <c r="C55" s="24"/>
      <c r="D55" s="24"/>
      <c r="E55" s="24"/>
      <c r="F55" s="24"/>
      <c r="G55" s="24"/>
      <c r="H55" s="24"/>
      <c r="I55" s="24"/>
      <c r="J55" s="24"/>
    </row>
    <row r="56" spans="1:10" ht="15.75">
      <c r="A56" s="24"/>
      <c r="B56" s="24"/>
      <c r="C56" s="24"/>
      <c r="D56" s="24"/>
      <c r="E56" s="24"/>
      <c r="F56" s="24"/>
      <c r="G56" s="24"/>
      <c r="H56" s="24"/>
      <c r="I56" s="24"/>
      <c r="J56" s="24"/>
    </row>
    <row r="57" spans="1:10" ht="15.75">
      <c r="A57" s="24"/>
      <c r="B57" s="24"/>
      <c r="C57" s="24"/>
      <c r="D57" s="24"/>
      <c r="E57" s="24"/>
      <c r="F57" s="24"/>
      <c r="G57" s="24"/>
      <c r="H57" s="24"/>
      <c r="I57" s="24"/>
      <c r="J57" s="24"/>
    </row>
  </sheetData>
  <mergeCells count="3">
    <mergeCell ref="A1:J1"/>
    <mergeCell ref="A2:J2"/>
    <mergeCell ref="A3:J3"/>
  </mergeCells>
  <pageMargins left="0.7" right="0.7" top="0.75" bottom="0.75" header="0.3" footer="0.3"/>
  <pageSetup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CD5B6-0632-49A5-BE6F-3C4ABA81A1A9}">
  <sheetPr>
    <pageSetUpPr fitToPage="1"/>
  </sheetPr>
  <dimension ref="A2:Q240"/>
  <sheetViews>
    <sheetView view="pageBreakPreview" zoomScale="55" zoomScaleNormal="75" zoomScaleSheetLayoutView="55" workbookViewId="0">
      <selection activeCell="G16" sqref="G16"/>
    </sheetView>
  </sheetViews>
  <sheetFormatPr defaultColWidth="8.88671875" defaultRowHeight="15.75"/>
  <cols>
    <col min="1" max="1" width="8.88671875" style="546"/>
    <col min="2" max="2" width="33.44140625" style="539" customWidth="1"/>
    <col min="3" max="3" width="15.109375" style="547" customWidth="1"/>
    <col min="4" max="4" width="16.77734375" style="546" customWidth="1"/>
    <col min="5" max="5" width="20.5546875" style="546" customWidth="1"/>
    <col min="6" max="6" width="17.33203125" style="547" customWidth="1"/>
    <col min="7" max="7" width="33.109375" style="547" customWidth="1"/>
    <col min="8" max="8" width="18.44140625" style="547" customWidth="1"/>
    <col min="9" max="9" width="16.77734375" style="547" customWidth="1"/>
    <col min="10" max="10" width="18.21875" style="547" customWidth="1"/>
    <col min="11" max="11" width="17.5546875" style="547" customWidth="1"/>
    <col min="12" max="12" width="16" style="547" customWidth="1"/>
    <col min="13" max="13" width="11.21875" style="543" bestFit="1" customWidth="1"/>
    <col min="14" max="14" width="13.77734375" style="543" customWidth="1"/>
    <col min="15" max="16" width="8.88671875" style="543"/>
    <col min="17" max="17" width="35.5546875" style="543" bestFit="1" customWidth="1"/>
    <col min="18" max="16384" width="8.88671875" style="543"/>
  </cols>
  <sheetData>
    <row r="2" spans="1:14">
      <c r="A2" s="542" t="s">
        <v>552</v>
      </c>
      <c r="B2" s="542"/>
      <c r="C2" s="542"/>
      <c r="D2" s="542"/>
      <c r="E2" s="542"/>
      <c r="F2" s="542"/>
      <c r="G2" s="542"/>
      <c r="H2" s="542"/>
      <c r="I2" s="542"/>
      <c r="J2" s="542"/>
      <c r="K2" s="542"/>
      <c r="L2" s="542"/>
    </row>
    <row r="3" spans="1:14">
      <c r="A3" s="544" t="s">
        <v>553</v>
      </c>
      <c r="B3" s="545"/>
      <c r="C3" s="545"/>
      <c r="D3" s="545"/>
      <c r="E3" s="545"/>
      <c r="F3" s="545"/>
      <c r="G3" s="545"/>
      <c r="H3" s="545"/>
      <c r="I3" s="545"/>
      <c r="J3" s="545"/>
      <c r="K3" s="545"/>
      <c r="L3" s="545"/>
      <c r="M3" s="545"/>
      <c r="N3" s="545"/>
    </row>
    <row r="5" spans="1:14">
      <c r="H5" s="548"/>
      <c r="I5" s="548"/>
      <c r="J5" s="548"/>
      <c r="K5" s="546"/>
    </row>
    <row r="6" spans="1:14">
      <c r="A6" s="546">
        <v>1</v>
      </c>
      <c r="B6" s="156" t="s">
        <v>554</v>
      </c>
      <c r="C6" s="160"/>
      <c r="D6" s="156"/>
      <c r="E6" s="156"/>
      <c r="G6" s="549" t="s">
        <v>555</v>
      </c>
      <c r="L6" s="32">
        <f>+'Appendix III'!J153</f>
        <v>8863134.3502889778</v>
      </c>
      <c r="M6" s="547"/>
      <c r="N6" s="547"/>
    </row>
    <row r="7" spans="1:14">
      <c r="A7" s="546">
        <v>2</v>
      </c>
      <c r="B7" s="156" t="s">
        <v>556</v>
      </c>
      <c r="C7" s="160"/>
      <c r="D7" s="156"/>
      <c r="E7" s="156"/>
      <c r="G7" s="31" t="s">
        <v>557</v>
      </c>
      <c r="L7" s="32">
        <f>+'Appendix III'!J121+'Appendix III'!J123+'Appendix III'!J118</f>
        <v>4163082.7428600001</v>
      </c>
      <c r="M7" s="550"/>
      <c r="N7" s="547"/>
    </row>
    <row r="8" spans="1:14">
      <c r="A8" s="546">
        <v>3</v>
      </c>
      <c r="B8" s="156" t="s">
        <v>558</v>
      </c>
      <c r="C8" s="160"/>
      <c r="D8" s="156"/>
      <c r="E8" s="156"/>
      <c r="G8" s="156" t="s">
        <v>559</v>
      </c>
      <c r="L8" s="32">
        <f>+L6-L7</f>
        <v>4700051.6074289773</v>
      </c>
      <c r="M8" s="547"/>
      <c r="N8" s="547"/>
    </row>
    <row r="9" spans="1:14">
      <c r="A9" s="546">
        <v>4</v>
      </c>
      <c r="B9" s="24" t="s">
        <v>560</v>
      </c>
      <c r="C9" s="160"/>
      <c r="D9" s="156"/>
      <c r="E9" s="156"/>
      <c r="G9" s="156" t="str">
        <f>"(Appendix III, line "&amp;'Appendix III'!A199&amp;" (a))"</f>
        <v>(Appendix III, line 88 (a))</v>
      </c>
      <c r="L9" s="32">
        <f>+'Appendix III'!H199</f>
        <v>46421067.358287849</v>
      </c>
      <c r="M9" s="547"/>
      <c r="N9" s="547"/>
    </row>
    <row r="10" spans="1:14">
      <c r="A10" s="546">
        <v>5</v>
      </c>
      <c r="B10" s="164" t="s">
        <v>561</v>
      </c>
      <c r="C10" s="160"/>
      <c r="E10" s="156"/>
      <c r="G10" s="156" t="s">
        <v>562</v>
      </c>
      <c r="L10" s="551">
        <f>IF(L9=0,0,L8/L9)</f>
        <v>0.10124824513734165</v>
      </c>
      <c r="M10" s="547"/>
      <c r="N10" s="547"/>
    </row>
    <row r="11" spans="1:14">
      <c r="A11" s="546">
        <v>6</v>
      </c>
      <c r="B11" s="24" t="s">
        <v>544</v>
      </c>
      <c r="C11" s="160"/>
      <c r="D11" s="167"/>
      <c r="E11" s="156"/>
      <c r="G11" s="156" t="s">
        <v>563</v>
      </c>
      <c r="L11" s="552">
        <f>+'3 - Incentives'!J39</f>
        <v>1.2936249142388289E-2</v>
      </c>
      <c r="M11" s="547"/>
      <c r="N11" s="547"/>
    </row>
    <row r="12" spans="1:14">
      <c r="C12" s="553"/>
      <c r="M12" s="547"/>
      <c r="N12" s="547"/>
    </row>
    <row r="13" spans="1:14">
      <c r="C13" s="553"/>
      <c r="M13" s="547"/>
      <c r="N13" s="547"/>
    </row>
    <row r="14" spans="1:14">
      <c r="C14" s="553"/>
      <c r="M14" s="547"/>
      <c r="N14" s="547"/>
    </row>
    <row r="15" spans="1:14">
      <c r="M15" s="547"/>
      <c r="N15" s="547"/>
    </row>
    <row r="16" spans="1:14">
      <c r="B16" s="554" t="s">
        <v>564</v>
      </c>
      <c r="C16" s="554" t="s">
        <v>565</v>
      </c>
      <c r="D16" s="554" t="s">
        <v>566</v>
      </c>
      <c r="E16" s="554" t="s">
        <v>567</v>
      </c>
      <c r="F16" s="554" t="s">
        <v>568</v>
      </c>
      <c r="G16" s="554" t="s">
        <v>569</v>
      </c>
      <c r="H16" s="554" t="s">
        <v>570</v>
      </c>
      <c r="I16" s="554" t="s">
        <v>571</v>
      </c>
      <c r="J16" s="554" t="s">
        <v>572</v>
      </c>
      <c r="K16" s="554" t="s">
        <v>573</v>
      </c>
      <c r="L16" s="554" t="s">
        <v>574</v>
      </c>
      <c r="M16" s="555" t="s">
        <v>575</v>
      </c>
      <c r="N16" s="555" t="s">
        <v>576</v>
      </c>
    </row>
    <row r="17" spans="1:16">
      <c r="B17" s="539" t="s">
        <v>577</v>
      </c>
      <c r="G17" s="556"/>
      <c r="H17" s="557"/>
      <c r="I17" s="557"/>
      <c r="J17" s="557"/>
      <c r="K17" s="558"/>
      <c r="L17" s="558"/>
      <c r="M17" s="559"/>
      <c r="N17" s="559"/>
    </row>
    <row r="18" spans="1:16" ht="87" customHeight="1">
      <c r="A18" s="539"/>
      <c r="B18" s="548" t="s">
        <v>578</v>
      </c>
      <c r="C18" s="560" t="s">
        <v>579</v>
      </c>
      <c r="D18" s="561" t="s">
        <v>580</v>
      </c>
      <c r="E18" s="561" t="s">
        <v>581</v>
      </c>
      <c r="F18" s="561" t="s">
        <v>582</v>
      </c>
      <c r="G18" s="562" t="s">
        <v>583</v>
      </c>
      <c r="H18" s="563"/>
      <c r="I18" s="563"/>
      <c r="J18" s="564"/>
      <c r="K18" s="565" t="s">
        <v>584</v>
      </c>
      <c r="L18" s="565" t="s">
        <v>585</v>
      </c>
      <c r="M18" s="566" t="s">
        <v>586</v>
      </c>
      <c r="N18" s="567" t="s">
        <v>587</v>
      </c>
    </row>
    <row r="19" spans="1:16" ht="86.25" customHeight="1">
      <c r="A19" s="539"/>
      <c r="B19" s="568"/>
      <c r="C19" s="560"/>
      <c r="D19" s="560" t="s">
        <v>588</v>
      </c>
      <c r="E19" s="560" t="s">
        <v>589</v>
      </c>
      <c r="F19" s="560" t="s">
        <v>590</v>
      </c>
      <c r="G19" s="569" t="s">
        <v>591</v>
      </c>
      <c r="H19" s="570" t="s">
        <v>592</v>
      </c>
      <c r="I19" s="570" t="s">
        <v>593</v>
      </c>
      <c r="J19" s="571" t="s">
        <v>594</v>
      </c>
      <c r="K19" s="571" t="s">
        <v>594</v>
      </c>
      <c r="L19" s="571" t="s">
        <v>595</v>
      </c>
      <c r="M19" s="546" t="s">
        <v>596</v>
      </c>
      <c r="N19" s="572" t="s">
        <v>597</v>
      </c>
    </row>
    <row r="20" spans="1:16" ht="31.5">
      <c r="A20" s="539"/>
      <c r="C20" s="156"/>
      <c r="D20" s="156"/>
      <c r="E20" s="156"/>
      <c r="F20" s="156"/>
      <c r="G20" s="573"/>
      <c r="J20" s="574" t="s">
        <v>598</v>
      </c>
      <c r="K20" s="574" t="s">
        <v>599</v>
      </c>
      <c r="L20" s="575"/>
      <c r="M20" s="547"/>
      <c r="N20" s="576"/>
    </row>
    <row r="21" spans="1:16">
      <c r="A21" s="539"/>
      <c r="C21" s="156"/>
      <c r="D21" s="156"/>
      <c r="E21" s="156"/>
      <c r="F21" s="156"/>
      <c r="G21" s="573"/>
      <c r="J21" s="577"/>
      <c r="K21" s="577"/>
      <c r="L21" s="577"/>
      <c r="M21" s="547"/>
      <c r="N21" s="576"/>
    </row>
    <row r="22" spans="1:16">
      <c r="A22" s="546" t="s">
        <v>600</v>
      </c>
      <c r="B22" s="286">
        <v>0</v>
      </c>
      <c r="C22" s="578">
        <v>0</v>
      </c>
      <c r="D22" s="579">
        <v>0</v>
      </c>
      <c r="E22" s="580">
        <f>+L10</f>
        <v>0.10124824513734165</v>
      </c>
      <c r="F22" s="580">
        <f t="shared" ref="F22:F30" si="0">+L$11*D22/100+E22</f>
        <v>0.10124824513734165</v>
      </c>
      <c r="G22" s="581">
        <v>0</v>
      </c>
      <c r="H22" s="582">
        <v>0</v>
      </c>
      <c r="I22" s="582">
        <v>0</v>
      </c>
      <c r="J22" s="583">
        <f t="shared" ref="J22:J30" si="1">+E22*G22+H22+I22</f>
        <v>0</v>
      </c>
      <c r="K22" s="584">
        <f>+F22*G22+H22+I22</f>
        <v>0</v>
      </c>
      <c r="L22" s="584">
        <f t="shared" ref="L22:L30" si="2">+K22-J22</f>
        <v>0</v>
      </c>
      <c r="M22" s="195">
        <v>0</v>
      </c>
      <c r="N22" s="585">
        <f t="shared" ref="N22:N31" si="3">+K22-M22</f>
        <v>0</v>
      </c>
      <c r="P22" s="586"/>
    </row>
    <row r="23" spans="1:16">
      <c r="A23" s="546" t="s">
        <v>601</v>
      </c>
      <c r="B23" s="286">
        <v>0</v>
      </c>
      <c r="C23" s="587">
        <v>0</v>
      </c>
      <c r="D23" s="579">
        <v>0</v>
      </c>
      <c r="E23" s="588">
        <f>+E22</f>
        <v>0.10124824513734165</v>
      </c>
      <c r="F23" s="580">
        <f t="shared" si="0"/>
        <v>0.10124824513734165</v>
      </c>
      <c r="G23" s="581">
        <v>0</v>
      </c>
      <c r="H23" s="582">
        <v>0</v>
      </c>
      <c r="I23" s="582">
        <v>0</v>
      </c>
      <c r="J23" s="583">
        <f t="shared" si="1"/>
        <v>0</v>
      </c>
      <c r="K23" s="584">
        <f>+F23*G23+H23+I23</f>
        <v>0</v>
      </c>
      <c r="L23" s="584">
        <f t="shared" si="2"/>
        <v>0</v>
      </c>
      <c r="M23" s="195">
        <v>0</v>
      </c>
      <c r="N23" s="585">
        <f t="shared" si="3"/>
        <v>0</v>
      </c>
      <c r="P23" s="586"/>
    </row>
    <row r="24" spans="1:16">
      <c r="A24" s="546" t="s">
        <v>602</v>
      </c>
      <c r="B24" s="286">
        <v>0</v>
      </c>
      <c r="C24" s="587">
        <v>0</v>
      </c>
      <c r="D24" s="579">
        <v>0</v>
      </c>
      <c r="E24" s="580">
        <f>+L10</f>
        <v>0.10124824513734165</v>
      </c>
      <c r="F24" s="580">
        <f t="shared" si="0"/>
        <v>0.10124824513734165</v>
      </c>
      <c r="G24" s="581">
        <v>0</v>
      </c>
      <c r="H24" s="582">
        <v>0</v>
      </c>
      <c r="I24" s="582">
        <v>0</v>
      </c>
      <c r="J24" s="583">
        <f t="shared" si="1"/>
        <v>0</v>
      </c>
      <c r="K24" s="584">
        <f>+F24*G24+H24+I24</f>
        <v>0</v>
      </c>
      <c r="L24" s="584">
        <f t="shared" si="2"/>
        <v>0</v>
      </c>
      <c r="M24" s="195">
        <v>0</v>
      </c>
      <c r="N24" s="585">
        <f t="shared" si="3"/>
        <v>0</v>
      </c>
      <c r="P24" s="586"/>
    </row>
    <row r="25" spans="1:16">
      <c r="A25" s="546" t="s">
        <v>603</v>
      </c>
      <c r="B25" s="589"/>
      <c r="C25" s="587"/>
      <c r="D25" s="579"/>
      <c r="E25" s="590"/>
      <c r="F25" s="591">
        <f t="shared" si="0"/>
        <v>0</v>
      </c>
      <c r="G25" s="592">
        <v>0</v>
      </c>
      <c r="H25" s="587">
        <v>0</v>
      </c>
      <c r="I25" s="587">
        <v>0</v>
      </c>
      <c r="J25" s="583">
        <f t="shared" si="1"/>
        <v>0</v>
      </c>
      <c r="K25" s="584">
        <f t="shared" ref="K25:K30" si="4">+F25*G25+H25</f>
        <v>0</v>
      </c>
      <c r="L25" s="584">
        <f t="shared" si="2"/>
        <v>0</v>
      </c>
      <c r="M25" s="195">
        <v>0</v>
      </c>
      <c r="N25" s="585">
        <f t="shared" si="3"/>
        <v>0</v>
      </c>
    </row>
    <row r="26" spans="1:16">
      <c r="A26" s="546" t="s">
        <v>604</v>
      </c>
      <c r="B26" s="589"/>
      <c r="C26" s="587"/>
      <c r="D26" s="587"/>
      <c r="E26" s="590"/>
      <c r="F26" s="591">
        <f t="shared" si="0"/>
        <v>0</v>
      </c>
      <c r="G26" s="592">
        <v>0</v>
      </c>
      <c r="H26" s="587">
        <v>0</v>
      </c>
      <c r="I26" s="587">
        <v>0</v>
      </c>
      <c r="J26" s="583">
        <f t="shared" si="1"/>
        <v>0</v>
      </c>
      <c r="K26" s="584">
        <f t="shared" si="4"/>
        <v>0</v>
      </c>
      <c r="L26" s="584">
        <f t="shared" si="2"/>
        <v>0</v>
      </c>
      <c r="M26" s="195">
        <v>0</v>
      </c>
      <c r="N26" s="585">
        <f t="shared" si="3"/>
        <v>0</v>
      </c>
    </row>
    <row r="27" spans="1:16">
      <c r="A27" s="546" t="s">
        <v>605</v>
      </c>
      <c r="B27" s="589"/>
      <c r="C27" s="587"/>
      <c r="D27" s="587"/>
      <c r="E27" s="591"/>
      <c r="F27" s="591">
        <f t="shared" si="0"/>
        <v>0</v>
      </c>
      <c r="G27" s="593">
        <v>0</v>
      </c>
      <c r="H27" s="587">
        <v>0</v>
      </c>
      <c r="I27" s="587">
        <v>0</v>
      </c>
      <c r="J27" s="583">
        <f t="shared" si="1"/>
        <v>0</v>
      </c>
      <c r="K27" s="584">
        <f t="shared" si="4"/>
        <v>0</v>
      </c>
      <c r="L27" s="584">
        <f t="shared" si="2"/>
        <v>0</v>
      </c>
      <c r="M27" s="195">
        <v>0</v>
      </c>
      <c r="N27" s="585">
        <f t="shared" si="3"/>
        <v>0</v>
      </c>
    </row>
    <row r="28" spans="1:16">
      <c r="A28" s="546" t="s">
        <v>606</v>
      </c>
      <c r="B28" s="589"/>
      <c r="C28" s="587"/>
      <c r="D28" s="587"/>
      <c r="E28" s="591"/>
      <c r="F28" s="591">
        <f t="shared" si="0"/>
        <v>0</v>
      </c>
      <c r="G28" s="593">
        <v>0</v>
      </c>
      <c r="H28" s="587">
        <v>0</v>
      </c>
      <c r="I28" s="587">
        <v>0</v>
      </c>
      <c r="J28" s="583">
        <f t="shared" si="1"/>
        <v>0</v>
      </c>
      <c r="K28" s="584">
        <f t="shared" si="4"/>
        <v>0</v>
      </c>
      <c r="L28" s="584">
        <f t="shared" si="2"/>
        <v>0</v>
      </c>
      <c r="M28" s="195">
        <v>0</v>
      </c>
      <c r="N28" s="585">
        <f t="shared" si="3"/>
        <v>0</v>
      </c>
    </row>
    <row r="29" spans="1:16">
      <c r="A29" s="546" t="s">
        <v>607</v>
      </c>
      <c r="B29" s="589"/>
      <c r="C29" s="587"/>
      <c r="D29" s="587"/>
      <c r="E29" s="591"/>
      <c r="F29" s="591">
        <f t="shared" si="0"/>
        <v>0</v>
      </c>
      <c r="G29" s="593">
        <v>0</v>
      </c>
      <c r="H29" s="587">
        <v>0</v>
      </c>
      <c r="I29" s="587">
        <v>0</v>
      </c>
      <c r="J29" s="583">
        <f t="shared" si="1"/>
        <v>0</v>
      </c>
      <c r="K29" s="584">
        <f t="shared" si="4"/>
        <v>0</v>
      </c>
      <c r="L29" s="584">
        <f t="shared" si="2"/>
        <v>0</v>
      </c>
      <c r="M29" s="195">
        <v>0</v>
      </c>
      <c r="N29" s="585">
        <f t="shared" si="3"/>
        <v>0</v>
      </c>
    </row>
    <row r="30" spans="1:16">
      <c r="A30" s="546" t="s">
        <v>259</v>
      </c>
      <c r="B30" s="589"/>
      <c r="C30" s="587"/>
      <c r="D30" s="587"/>
      <c r="E30" s="591"/>
      <c r="F30" s="591">
        <f t="shared" si="0"/>
        <v>0</v>
      </c>
      <c r="G30" s="593">
        <v>0</v>
      </c>
      <c r="H30" s="587">
        <v>0</v>
      </c>
      <c r="I30" s="587">
        <v>0</v>
      </c>
      <c r="J30" s="583">
        <f t="shared" si="1"/>
        <v>0</v>
      </c>
      <c r="K30" s="584">
        <f t="shared" si="4"/>
        <v>0</v>
      </c>
      <c r="L30" s="584">
        <f t="shared" si="2"/>
        <v>0</v>
      </c>
      <c r="M30" s="195">
        <v>0</v>
      </c>
      <c r="N30" s="585">
        <f t="shared" si="3"/>
        <v>0</v>
      </c>
    </row>
    <row r="31" spans="1:16">
      <c r="A31" s="546">
        <v>8</v>
      </c>
      <c r="B31" s="555" t="s">
        <v>608</v>
      </c>
      <c r="G31" s="594">
        <f t="shared" ref="G31:L31" si="5">SUM(G22:G30)</f>
        <v>0</v>
      </c>
      <c r="H31" s="595">
        <f t="shared" si="5"/>
        <v>0</v>
      </c>
      <c r="I31" s="595">
        <f t="shared" si="5"/>
        <v>0</v>
      </c>
      <c r="J31" s="596">
        <f t="shared" si="5"/>
        <v>0</v>
      </c>
      <c r="K31" s="597">
        <f t="shared" si="5"/>
        <v>0</v>
      </c>
      <c r="L31" s="597">
        <f t="shared" si="5"/>
        <v>0</v>
      </c>
      <c r="M31" s="195">
        <v>0</v>
      </c>
      <c r="N31" s="585">
        <f t="shared" si="3"/>
        <v>0</v>
      </c>
      <c r="O31" s="598"/>
    </row>
    <row r="32" spans="1:16" ht="68.25" customHeight="1">
      <c r="A32" s="546">
        <v>9</v>
      </c>
      <c r="B32" s="539" t="s">
        <v>609</v>
      </c>
      <c r="G32" s="567" t="s">
        <v>610</v>
      </c>
      <c r="H32" s="567" t="s">
        <v>611</v>
      </c>
      <c r="I32" s="567" t="s">
        <v>612</v>
      </c>
      <c r="J32" s="567" t="s">
        <v>613</v>
      </c>
      <c r="K32" s="567" t="s">
        <v>614</v>
      </c>
      <c r="L32" s="567" t="s">
        <v>615</v>
      </c>
      <c r="M32" s="599"/>
      <c r="N32" s="567" t="s">
        <v>616</v>
      </c>
    </row>
    <row r="33" spans="1:17">
      <c r="A33" s="546">
        <v>10</v>
      </c>
      <c r="B33" s="539" t="s">
        <v>617</v>
      </c>
      <c r="H33" s="600">
        <v>0</v>
      </c>
      <c r="I33" s="600">
        <v>0</v>
      </c>
      <c r="J33" s="600">
        <v>0</v>
      </c>
      <c r="K33" s="600">
        <v>0</v>
      </c>
      <c r="L33" s="600">
        <v>0</v>
      </c>
      <c r="M33" s="600">
        <v>0</v>
      </c>
      <c r="N33" s="600">
        <v>0</v>
      </c>
      <c r="Q33" s="601"/>
    </row>
    <row r="34" spans="1:17">
      <c r="A34" s="546">
        <v>11</v>
      </c>
      <c r="B34" s="539" t="s">
        <v>618</v>
      </c>
      <c r="G34" s="31"/>
      <c r="H34" s="600">
        <v>0</v>
      </c>
      <c r="I34" s="600">
        <v>0</v>
      </c>
      <c r="J34" s="600">
        <v>0</v>
      </c>
      <c r="K34" s="600">
        <v>0</v>
      </c>
      <c r="L34" s="600">
        <v>0</v>
      </c>
      <c r="M34" s="600">
        <v>0</v>
      </c>
      <c r="N34" s="600">
        <v>0</v>
      </c>
    </row>
    <row r="35" spans="1:17">
      <c r="G35" s="31"/>
      <c r="H35" s="600"/>
      <c r="I35" s="600"/>
      <c r="J35" s="600"/>
      <c r="K35" s="600"/>
      <c r="L35" s="600"/>
      <c r="M35" s="600"/>
      <c r="N35" s="600"/>
    </row>
    <row r="36" spans="1:17">
      <c r="A36" s="539" t="s">
        <v>619</v>
      </c>
      <c r="G36" s="32"/>
      <c r="H36" s="550"/>
      <c r="I36" s="550"/>
      <c r="M36" s="547"/>
      <c r="N36" s="547"/>
      <c r="Q36" s="601"/>
    </row>
    <row r="37" spans="1:17">
      <c r="A37" s="539" t="s">
        <v>620</v>
      </c>
      <c r="M37" s="547"/>
      <c r="N37" s="547"/>
    </row>
    <row r="38" spans="1:17">
      <c r="A38" s="539" t="s">
        <v>621</v>
      </c>
      <c r="G38" s="550"/>
      <c r="H38" s="550"/>
      <c r="I38" s="550"/>
      <c r="M38" s="547"/>
      <c r="N38" s="547"/>
    </row>
    <row r="39" spans="1:17">
      <c r="B39" s="24" t="s">
        <v>550</v>
      </c>
      <c r="C39" s="24"/>
      <c r="J39" s="602"/>
      <c r="K39" s="602"/>
      <c r="M39" s="547"/>
      <c r="N39" s="547"/>
    </row>
    <row r="40" spans="1:17">
      <c r="B40" s="540" t="s">
        <v>551</v>
      </c>
      <c r="C40" s="603" t="s">
        <v>446</v>
      </c>
      <c r="D40" s="603"/>
      <c r="M40" s="547"/>
      <c r="N40" s="547"/>
    </row>
    <row r="41" spans="1:17">
      <c r="B41" s="541"/>
      <c r="C41" s="604"/>
      <c r="D41" s="604"/>
      <c r="M41" s="547"/>
      <c r="N41" s="547"/>
    </row>
    <row r="42" spans="1:17">
      <c r="B42" s="541"/>
      <c r="C42" s="604"/>
      <c r="D42" s="604"/>
      <c r="M42" s="547"/>
      <c r="N42" s="547"/>
    </row>
    <row r="43" spans="1:17">
      <c r="B43" s="541"/>
      <c r="C43" s="604"/>
      <c r="D43" s="604"/>
      <c r="M43" s="547"/>
      <c r="N43" s="547"/>
    </row>
    <row r="44" spans="1:17">
      <c r="A44" s="605" t="s">
        <v>622</v>
      </c>
      <c r="M44" s="547"/>
      <c r="N44" s="547"/>
    </row>
    <row r="45" spans="1:17">
      <c r="A45" s="605" t="s">
        <v>623</v>
      </c>
      <c r="M45" s="547"/>
      <c r="N45" s="547"/>
    </row>
    <row r="46" spans="1:17">
      <c r="A46" s="539" t="s">
        <v>624</v>
      </c>
      <c r="M46" s="547"/>
      <c r="N46" s="547"/>
    </row>
    <row r="47" spans="1:17">
      <c r="A47" s="539" t="s">
        <v>625</v>
      </c>
      <c r="M47" s="547"/>
      <c r="N47" s="547"/>
    </row>
    <row r="48" spans="1:17">
      <c r="A48" s="539"/>
      <c r="B48" s="566" t="s">
        <v>186</v>
      </c>
      <c r="C48" s="606" t="s">
        <v>188</v>
      </c>
      <c r="D48" s="607"/>
      <c r="E48" s="566" t="s">
        <v>190</v>
      </c>
      <c r="F48" s="566" t="s">
        <v>193</v>
      </c>
      <c r="G48" s="566" t="s">
        <v>196</v>
      </c>
      <c r="M48" s="547"/>
      <c r="N48" s="547"/>
    </row>
    <row r="49" spans="1:14" ht="94.5" customHeight="1">
      <c r="B49" s="540" t="s">
        <v>551</v>
      </c>
      <c r="C49" s="608" t="s">
        <v>626</v>
      </c>
      <c r="D49" s="608"/>
      <c r="E49" s="609" t="s">
        <v>627</v>
      </c>
      <c r="F49" s="610" t="s">
        <v>628</v>
      </c>
      <c r="G49" s="611" t="s">
        <v>629</v>
      </c>
      <c r="J49" s="32"/>
      <c r="K49" s="32"/>
      <c r="L49" s="32"/>
      <c r="M49" s="547"/>
      <c r="N49" s="547"/>
    </row>
    <row r="50" spans="1:14">
      <c r="A50" s="546">
        <v>10</v>
      </c>
      <c r="B50" s="612">
        <v>0</v>
      </c>
      <c r="C50" s="613">
        <v>0</v>
      </c>
      <c r="D50" s="613"/>
      <c r="E50" s="614">
        <f>IF(C50&gt;0,C50/C$54,0)</f>
        <v>0</v>
      </c>
      <c r="F50" s="615">
        <f>('Appendix III'!J$114-'Appendix III'!J$115+'Appendix III'!J$116+'Appendix III'!J$117)*E50</f>
        <v>0</v>
      </c>
      <c r="G50" s="614">
        <f>+C50+F50</f>
        <v>0</v>
      </c>
      <c r="H50" s="24"/>
      <c r="M50" s="547"/>
      <c r="N50" s="547"/>
    </row>
    <row r="51" spans="1:14">
      <c r="A51" s="546" t="s">
        <v>272</v>
      </c>
      <c r="B51" s="612">
        <v>0</v>
      </c>
      <c r="C51" s="613">
        <v>0</v>
      </c>
      <c r="D51" s="613"/>
      <c r="E51" s="614">
        <f>IF(C51&gt;0,C51/C$54,0)</f>
        <v>0</v>
      </c>
      <c r="F51" s="615">
        <f>('Appendix III'!J$114-'Appendix III'!J$115+'Appendix III'!J$116+'Appendix III'!J$117)*E51</f>
        <v>0</v>
      </c>
      <c r="G51" s="614">
        <f>+C51+F51</f>
        <v>0</v>
      </c>
      <c r="H51" s="24"/>
      <c r="M51" s="547"/>
      <c r="N51" s="547"/>
    </row>
    <row r="52" spans="1:14">
      <c r="A52" s="546" t="s">
        <v>274</v>
      </c>
      <c r="B52" s="612"/>
      <c r="C52" s="613"/>
      <c r="D52" s="613"/>
      <c r="E52" s="614">
        <f>IF(C52&gt;0,C52/C$54,0)</f>
        <v>0</v>
      </c>
      <c r="F52" s="615"/>
      <c r="G52" s="614"/>
      <c r="H52" s="24"/>
      <c r="K52" s="32"/>
      <c r="M52" s="547"/>
      <c r="N52" s="547"/>
    </row>
    <row r="53" spans="1:14">
      <c r="A53" s="546" t="s">
        <v>259</v>
      </c>
      <c r="B53" s="612"/>
      <c r="C53" s="613"/>
      <c r="D53" s="613"/>
      <c r="E53" s="614">
        <f>IF(C53&gt;0,C53/C$54,0)</f>
        <v>0</v>
      </c>
      <c r="F53" s="615"/>
      <c r="G53" s="614"/>
      <c r="K53" s="550"/>
    </row>
    <row r="54" spans="1:14">
      <c r="A54" s="546">
        <v>11</v>
      </c>
      <c r="B54" s="616" t="s">
        <v>630</v>
      </c>
      <c r="C54" s="617">
        <f>SUM(C50:D53)</f>
        <v>0</v>
      </c>
      <c r="D54" s="617"/>
      <c r="E54" s="80"/>
      <c r="F54" s="80"/>
      <c r="G54" s="80">
        <f>SUM(G50:G53)</f>
        <v>0</v>
      </c>
    </row>
    <row r="56" spans="1:14">
      <c r="A56" s="546" t="s">
        <v>631</v>
      </c>
      <c r="B56" s="539" t="s">
        <v>632</v>
      </c>
    </row>
    <row r="57" spans="1:14">
      <c r="B57" s="539" t="s">
        <v>633</v>
      </c>
      <c r="C57" s="618" t="s">
        <v>634</v>
      </c>
      <c r="D57" s="618"/>
      <c r="E57" s="618"/>
      <c r="F57" s="618"/>
      <c r="G57" s="618"/>
      <c r="H57" s="618"/>
      <c r="I57" s="618"/>
      <c r="J57" s="618"/>
      <c r="K57" s="618"/>
      <c r="L57" s="618"/>
      <c r="M57" s="618"/>
    </row>
    <row r="58" spans="1:14">
      <c r="B58" s="539" t="s">
        <v>635</v>
      </c>
      <c r="C58" s="618" t="s">
        <v>636</v>
      </c>
      <c r="D58" s="618"/>
      <c r="E58" s="618"/>
      <c r="F58" s="618"/>
      <c r="G58" s="618"/>
      <c r="H58" s="618"/>
      <c r="I58" s="618"/>
      <c r="J58" s="618"/>
      <c r="K58" s="618"/>
      <c r="L58" s="618"/>
      <c r="M58" s="618"/>
    </row>
    <row r="59" spans="1:14">
      <c r="B59" s="539" t="s">
        <v>637</v>
      </c>
      <c r="C59" s="618" t="s">
        <v>638</v>
      </c>
      <c r="D59" s="618"/>
      <c r="E59" s="618"/>
      <c r="F59" s="618"/>
      <c r="G59" s="618"/>
      <c r="H59" s="618"/>
      <c r="I59" s="618"/>
      <c r="J59" s="618"/>
      <c r="K59" s="618"/>
      <c r="L59" s="618"/>
      <c r="M59" s="618"/>
    </row>
    <row r="60" spans="1:14">
      <c r="B60" s="539" t="s">
        <v>639</v>
      </c>
      <c r="C60" s="618" t="s">
        <v>640</v>
      </c>
      <c r="D60" s="618"/>
      <c r="E60" s="618"/>
      <c r="F60" s="618"/>
      <c r="G60" s="618"/>
      <c r="H60" s="618"/>
      <c r="I60" s="618"/>
      <c r="J60" s="618"/>
      <c r="K60" s="618"/>
      <c r="L60" s="618"/>
      <c r="M60" s="618"/>
    </row>
    <row r="61" spans="1:14">
      <c r="B61" s="539" t="s">
        <v>641</v>
      </c>
      <c r="C61" s="618" t="s">
        <v>642</v>
      </c>
      <c r="D61" s="618"/>
      <c r="E61" s="618"/>
      <c r="F61" s="618"/>
      <c r="G61" s="618"/>
      <c r="H61" s="618"/>
      <c r="I61" s="618"/>
      <c r="J61" s="618"/>
      <c r="K61" s="618"/>
      <c r="L61" s="618"/>
      <c r="M61" s="618"/>
    </row>
    <row r="62" spans="1:14">
      <c r="B62" s="539" t="s">
        <v>643</v>
      </c>
      <c r="C62" s="618" t="s">
        <v>644</v>
      </c>
      <c r="D62" s="618"/>
      <c r="E62" s="618"/>
      <c r="F62" s="618"/>
      <c r="G62" s="618"/>
      <c r="H62" s="618"/>
      <c r="I62" s="618"/>
      <c r="J62" s="618"/>
      <c r="K62" s="618"/>
      <c r="L62" s="618"/>
      <c r="M62" s="618"/>
    </row>
    <row r="63" spans="1:14">
      <c r="B63" s="539" t="s">
        <v>645</v>
      </c>
      <c r="C63" s="618" t="s">
        <v>646</v>
      </c>
      <c r="D63" s="618"/>
      <c r="E63" s="618"/>
      <c r="F63" s="618"/>
      <c r="G63" s="618"/>
      <c r="H63" s="618"/>
      <c r="I63" s="618"/>
      <c r="J63" s="618"/>
      <c r="K63" s="618"/>
      <c r="L63" s="618"/>
      <c r="M63" s="618"/>
    </row>
    <row r="64" spans="1:14">
      <c r="B64" s="539" t="s">
        <v>647</v>
      </c>
      <c r="C64" s="618" t="s">
        <v>648</v>
      </c>
      <c r="D64" s="618"/>
      <c r="E64" s="618"/>
      <c r="F64" s="618"/>
      <c r="G64" s="618"/>
      <c r="H64" s="618"/>
      <c r="I64" s="618"/>
      <c r="J64" s="618"/>
      <c r="K64" s="618"/>
      <c r="L64" s="618"/>
    </row>
    <row r="65" spans="2:12">
      <c r="B65" s="539" t="s">
        <v>649</v>
      </c>
      <c r="C65" s="618" t="s">
        <v>650</v>
      </c>
      <c r="D65" s="618"/>
      <c r="E65" s="618"/>
      <c r="F65" s="618"/>
      <c r="G65" s="618"/>
      <c r="H65" s="618"/>
      <c r="I65" s="618"/>
      <c r="J65" s="618"/>
      <c r="K65" s="618"/>
      <c r="L65" s="618"/>
    </row>
    <row r="66" spans="2:12">
      <c r="B66" s="539" t="s">
        <v>651</v>
      </c>
      <c r="C66" s="618" t="s">
        <v>652</v>
      </c>
      <c r="D66" s="618"/>
      <c r="E66" s="618"/>
      <c r="F66" s="618"/>
      <c r="G66" s="618"/>
      <c r="H66" s="618"/>
      <c r="I66" s="618"/>
      <c r="J66" s="618"/>
      <c r="K66" s="618"/>
      <c r="L66" s="618"/>
    </row>
    <row r="67" spans="2:12">
      <c r="B67" s="539" t="s">
        <v>653</v>
      </c>
      <c r="C67" s="618" t="s">
        <v>654</v>
      </c>
      <c r="D67" s="618"/>
      <c r="E67" s="618"/>
      <c r="F67" s="618"/>
      <c r="G67" s="618"/>
      <c r="H67" s="618"/>
      <c r="I67" s="618"/>
      <c r="J67" s="618"/>
      <c r="K67" s="618"/>
      <c r="L67" s="618"/>
    </row>
    <row r="68" spans="2:12">
      <c r="B68" s="539" t="s">
        <v>655</v>
      </c>
      <c r="C68" s="618" t="s">
        <v>656</v>
      </c>
      <c r="D68" s="618"/>
      <c r="E68" s="618"/>
      <c r="F68" s="618"/>
      <c r="G68" s="618"/>
      <c r="H68" s="618"/>
      <c r="I68" s="618"/>
      <c r="J68" s="618"/>
      <c r="K68" s="618"/>
      <c r="L68" s="618"/>
    </row>
    <row r="69" spans="2:12">
      <c r="B69" s="539" t="s">
        <v>657</v>
      </c>
      <c r="C69" s="618" t="s">
        <v>658</v>
      </c>
      <c r="D69" s="618"/>
      <c r="E69" s="618"/>
      <c r="F69" s="618"/>
      <c r="G69" s="618"/>
      <c r="H69" s="618"/>
      <c r="I69" s="618"/>
      <c r="J69" s="618"/>
      <c r="K69" s="618"/>
      <c r="L69" s="618"/>
    </row>
    <row r="70" spans="2:12" ht="51.75" customHeight="1">
      <c r="B70" s="539" t="s">
        <v>659</v>
      </c>
      <c r="C70" s="619" t="s">
        <v>660</v>
      </c>
      <c r="D70" s="619"/>
      <c r="E70" s="619"/>
      <c r="F70" s="619"/>
      <c r="G70" s="619"/>
      <c r="H70" s="619"/>
      <c r="I70" s="619"/>
      <c r="J70" s="619"/>
      <c r="K70" s="619"/>
      <c r="L70" s="619"/>
    </row>
    <row r="71" spans="2:12">
      <c r="B71" s="539" t="s">
        <v>661</v>
      </c>
      <c r="C71" s="618" t="s">
        <v>662</v>
      </c>
      <c r="D71" s="618"/>
      <c r="E71" s="618"/>
      <c r="F71" s="618"/>
      <c r="G71" s="618"/>
      <c r="H71" s="618"/>
      <c r="I71" s="618"/>
      <c r="J71" s="618"/>
      <c r="K71" s="618"/>
      <c r="L71" s="618"/>
    </row>
    <row r="72" spans="2:12" ht="55.5" customHeight="1">
      <c r="B72" s="539" t="s">
        <v>663</v>
      </c>
      <c r="C72" s="619" t="s">
        <v>664</v>
      </c>
      <c r="D72" s="619"/>
      <c r="E72" s="619"/>
      <c r="F72" s="619"/>
      <c r="G72" s="619"/>
      <c r="H72" s="619"/>
      <c r="I72" s="619"/>
      <c r="J72" s="619"/>
      <c r="K72" s="619"/>
      <c r="L72" s="619"/>
    </row>
    <row r="73" spans="2:12">
      <c r="C73" s="620"/>
      <c r="D73" s="620"/>
      <c r="E73" s="620"/>
      <c r="F73" s="620"/>
      <c r="G73" s="620"/>
      <c r="H73" s="620"/>
      <c r="I73" s="620"/>
      <c r="J73" s="620"/>
      <c r="K73" s="620"/>
      <c r="L73" s="620"/>
    </row>
    <row r="80" spans="2:12">
      <c r="C80" s="547" t="s">
        <v>3</v>
      </c>
    </row>
    <row r="230" spans="1:9">
      <c r="H230" s="621"/>
      <c r="I230" s="621"/>
    </row>
    <row r="232" spans="1:9">
      <c r="A232" s="547"/>
      <c r="B232" s="547"/>
    </row>
    <row r="233" spans="1:9">
      <c r="A233" s="547"/>
      <c r="B233" s="547"/>
    </row>
    <row r="234" spans="1:9">
      <c r="A234" s="547"/>
      <c r="B234" s="547"/>
    </row>
    <row r="235" spans="1:9">
      <c r="A235" s="547"/>
      <c r="B235" s="547"/>
    </row>
    <row r="236" spans="1:9">
      <c r="A236" s="547"/>
      <c r="B236" s="547"/>
    </row>
    <row r="237" spans="1:9">
      <c r="A237" s="547"/>
      <c r="B237" s="547"/>
    </row>
    <row r="238" spans="1:9">
      <c r="A238" s="547"/>
      <c r="B238" s="547"/>
    </row>
    <row r="239" spans="1:9">
      <c r="A239" s="547"/>
      <c r="B239" s="547"/>
    </row>
    <row r="240" spans="1:9">
      <c r="A240" s="547"/>
      <c r="B240" s="547"/>
    </row>
  </sheetData>
  <mergeCells count="31">
    <mergeCell ref="C73:L73"/>
    <mergeCell ref="C67:L67"/>
    <mergeCell ref="C68:L68"/>
    <mergeCell ref="C69:L69"/>
    <mergeCell ref="C70:L70"/>
    <mergeCell ref="C71:L71"/>
    <mergeCell ref="C72:L72"/>
    <mergeCell ref="C61:M61"/>
    <mergeCell ref="C62:M62"/>
    <mergeCell ref="C63:M63"/>
    <mergeCell ref="C64:L64"/>
    <mergeCell ref="C65:L65"/>
    <mergeCell ref="C66:L66"/>
    <mergeCell ref="C53:D53"/>
    <mergeCell ref="C54:D54"/>
    <mergeCell ref="C57:M57"/>
    <mergeCell ref="C58:M58"/>
    <mergeCell ref="C59:M59"/>
    <mergeCell ref="C60:M60"/>
    <mergeCell ref="C43:D43"/>
    <mergeCell ref="C48:D48"/>
    <mergeCell ref="C49:D49"/>
    <mergeCell ref="C50:D50"/>
    <mergeCell ref="C51:D51"/>
    <mergeCell ref="C52:D52"/>
    <mergeCell ref="A2:L2"/>
    <mergeCell ref="A3:N3"/>
    <mergeCell ref="G18:J18"/>
    <mergeCell ref="C40:D40"/>
    <mergeCell ref="C41:D41"/>
    <mergeCell ref="C42:D42"/>
  </mergeCells>
  <printOptions horizontalCentered="1"/>
  <pageMargins left="0.25" right="0.25" top="0.75" bottom="0.25" header="0.4" footer="0.5"/>
  <pageSetup scale="3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65169-2E08-4F64-9CCD-FA7B5F5A663C}">
  <dimension ref="A1:N64"/>
  <sheetViews>
    <sheetView view="pageBreakPreview" zoomScale="70" zoomScaleNormal="80" zoomScaleSheetLayoutView="70" workbookViewId="0">
      <selection activeCell="G16" sqref="G16"/>
    </sheetView>
  </sheetViews>
  <sheetFormatPr defaultColWidth="8.88671875" defaultRowHeight="15.75"/>
  <cols>
    <col min="1" max="1" width="6.21875" style="160" bestFit="1" customWidth="1"/>
    <col min="2" max="2" width="21.77734375" style="24" customWidth="1"/>
    <col min="3" max="3" width="26.33203125" style="24" customWidth="1"/>
    <col min="4" max="4" width="2.33203125" style="24" customWidth="1"/>
    <col min="5" max="5" width="18.77734375" style="24" customWidth="1"/>
    <col min="6" max="6" width="1.77734375" style="24" customWidth="1"/>
    <col min="7" max="7" width="18.6640625" style="24" customWidth="1"/>
    <col min="8" max="8" width="12.77734375" style="24" customWidth="1"/>
    <col min="9" max="9" width="15" style="24" customWidth="1"/>
    <col min="10" max="10" width="15.77734375" style="24" customWidth="1"/>
    <col min="11" max="11" width="1.44140625" style="24" customWidth="1"/>
    <col min="12" max="12" width="13.44140625" style="24" customWidth="1"/>
    <col min="14" max="14" width="8.44140625" bestFit="1" customWidth="1"/>
  </cols>
  <sheetData>
    <row r="1" spans="1:13" s="623" customFormat="1">
      <c r="A1" s="160"/>
      <c r="B1" s="622"/>
      <c r="C1" s="622"/>
      <c r="D1" s="622"/>
      <c r="E1" s="622"/>
      <c r="F1" s="622"/>
      <c r="G1" s="622"/>
      <c r="H1" s="622"/>
      <c r="I1" s="622"/>
      <c r="J1" s="622"/>
      <c r="K1" s="622"/>
      <c r="L1" s="622"/>
    </row>
    <row r="2" spans="1:13" s="623" customFormat="1">
      <c r="A2" s="160"/>
      <c r="B2" s="624" t="s">
        <v>665</v>
      </c>
      <c r="C2" s="624"/>
      <c r="D2" s="624"/>
      <c r="E2" s="624"/>
      <c r="F2" s="624"/>
      <c r="G2" s="624"/>
      <c r="H2" s="624"/>
      <c r="I2" s="624"/>
      <c r="J2" s="624"/>
      <c r="K2" s="624"/>
      <c r="L2" s="624"/>
    </row>
    <row r="3" spans="1:13" s="623" customFormat="1">
      <c r="A3" s="160"/>
      <c r="B3" s="625"/>
      <c r="C3" s="625"/>
      <c r="D3" s="625"/>
      <c r="E3" s="625"/>
      <c r="F3" s="625"/>
      <c r="G3" s="625"/>
      <c r="H3" s="625"/>
      <c r="I3" s="625"/>
      <c r="J3" s="625"/>
      <c r="K3" s="625"/>
      <c r="L3" s="625"/>
    </row>
    <row r="4" spans="1:13" s="623" customFormat="1">
      <c r="A4" s="160"/>
      <c r="B4" s="626" t="s">
        <v>524</v>
      </c>
      <c r="C4" s="627"/>
      <c r="D4" s="627"/>
      <c r="E4" s="627"/>
      <c r="F4" s="627"/>
      <c r="G4" s="627"/>
      <c r="H4" s="627"/>
      <c r="I4" s="627"/>
      <c r="J4" s="627"/>
      <c r="K4" s="627"/>
      <c r="L4" s="627"/>
    </row>
    <row r="5" spans="1:13">
      <c r="B5" s="628"/>
      <c r="C5" s="628"/>
      <c r="D5" s="628"/>
      <c r="E5" s="628"/>
      <c r="F5" s="628"/>
      <c r="G5" s="628"/>
      <c r="H5" s="628"/>
      <c r="I5" s="628"/>
      <c r="J5" s="628"/>
      <c r="K5" s="628"/>
      <c r="L5" s="628"/>
    </row>
    <row r="6" spans="1:13">
      <c r="B6" s="628"/>
      <c r="C6" s="628"/>
      <c r="D6" s="628"/>
      <c r="E6" s="628"/>
      <c r="F6" s="628"/>
      <c r="G6" s="628"/>
      <c r="H6" s="628"/>
      <c r="I6" s="628"/>
      <c r="J6" s="628"/>
      <c r="K6" s="628"/>
      <c r="L6" s="628"/>
    </row>
    <row r="7" spans="1:13" ht="16.5" thickBot="1">
      <c r="A7" s="464">
        <v>1</v>
      </c>
      <c r="B7" s="629">
        <v>2020</v>
      </c>
      <c r="C7" s="630"/>
      <c r="D7" s="630"/>
      <c r="E7" s="629">
        <v>2020</v>
      </c>
      <c r="F7" s="628"/>
      <c r="G7" s="628"/>
      <c r="H7" s="628"/>
      <c r="I7" s="628"/>
      <c r="K7" s="628"/>
      <c r="L7" s="628"/>
      <c r="M7" s="623"/>
    </row>
    <row r="8" spans="1:13" ht="31.5">
      <c r="A8" s="464">
        <f>+A7+1</f>
        <v>2</v>
      </c>
      <c r="B8" s="631" t="s">
        <v>666</v>
      </c>
      <c r="C8" s="628"/>
      <c r="D8" s="628"/>
      <c r="E8" s="631" t="s">
        <v>667</v>
      </c>
      <c r="F8" s="628"/>
      <c r="G8" s="628"/>
      <c r="H8" s="631" t="s">
        <v>668</v>
      </c>
      <c r="K8" s="628"/>
      <c r="L8" s="628"/>
      <c r="M8" s="623"/>
    </row>
    <row r="9" spans="1:13">
      <c r="A9" s="464">
        <f t="shared" ref="A9:A55" si="0">+A8+1</f>
        <v>3</v>
      </c>
      <c r="B9" s="632"/>
      <c r="C9" s="628"/>
      <c r="D9" s="628"/>
      <c r="E9" s="632"/>
      <c r="F9" s="628"/>
      <c r="G9" s="628"/>
      <c r="H9" s="633"/>
      <c r="K9" s="628"/>
      <c r="L9" s="628"/>
      <c r="M9" s="623"/>
    </row>
    <row r="10" spans="1:13" ht="16.5" thickBot="1">
      <c r="A10" s="464">
        <f>+A9+1</f>
        <v>4</v>
      </c>
      <c r="B10" s="634">
        <v>4383010.3999999994</v>
      </c>
      <c r="C10" s="635" t="s">
        <v>669</v>
      </c>
      <c r="D10" s="636"/>
      <c r="E10" s="634">
        <f>'Appendix III'!J38</f>
        <v>8863134.3502889778</v>
      </c>
      <c r="F10" s="637"/>
      <c r="G10" s="635" t="s">
        <v>670</v>
      </c>
      <c r="H10" s="638">
        <f>IF(E10=0,0,B10-E10)</f>
        <v>-4480123.9502889784</v>
      </c>
      <c r="K10" s="628"/>
      <c r="L10" s="628"/>
      <c r="M10" s="623"/>
    </row>
    <row r="11" spans="1:13">
      <c r="A11" s="464">
        <f t="shared" si="0"/>
        <v>5</v>
      </c>
      <c r="B11" s="637"/>
      <c r="C11" s="636"/>
      <c r="D11" s="636"/>
      <c r="E11" s="637"/>
      <c r="F11" s="637"/>
      <c r="G11" s="636"/>
      <c r="H11" s="637"/>
      <c r="I11" s="628"/>
      <c r="J11" s="628"/>
      <c r="K11" s="628"/>
      <c r="L11" s="628"/>
      <c r="M11" s="623"/>
    </row>
    <row r="12" spans="1:13" ht="16.5" thickBot="1">
      <c r="A12" s="464">
        <f t="shared" si="0"/>
        <v>6</v>
      </c>
      <c r="B12" s="639"/>
      <c r="C12" s="640"/>
      <c r="D12" s="640"/>
      <c r="E12" s="639"/>
      <c r="F12" s="639"/>
      <c r="G12" s="640"/>
      <c r="H12" s="639"/>
      <c r="I12" s="641"/>
      <c r="J12" s="641"/>
      <c r="K12" s="641"/>
      <c r="L12" s="641"/>
      <c r="M12" s="623"/>
    </row>
    <row r="13" spans="1:13" ht="23.25" customHeight="1">
      <c r="A13" s="464">
        <f t="shared" si="0"/>
        <v>7</v>
      </c>
      <c r="B13" s="642"/>
      <c r="C13" s="636"/>
      <c r="D13" s="636"/>
      <c r="E13" s="637"/>
      <c r="F13" s="637"/>
      <c r="G13" s="636"/>
      <c r="H13" s="637"/>
      <c r="I13" s="628"/>
      <c r="J13" s="628"/>
      <c r="K13" s="628"/>
      <c r="L13" s="628"/>
      <c r="M13" s="623"/>
    </row>
    <row r="14" spans="1:13" ht="53.25" customHeight="1">
      <c r="A14" s="464">
        <f t="shared" si="0"/>
        <v>8</v>
      </c>
      <c r="B14" s="643" t="s">
        <v>671</v>
      </c>
      <c r="C14" s="636"/>
      <c r="D14" s="636"/>
      <c r="E14" s="644" t="s">
        <v>672</v>
      </c>
      <c r="F14" s="637"/>
      <c r="G14" s="644" t="s">
        <v>673</v>
      </c>
      <c r="H14" s="635" t="s">
        <v>674</v>
      </c>
      <c r="I14" s="645" t="s">
        <v>675</v>
      </c>
      <c r="J14" s="644" t="s">
        <v>676</v>
      </c>
      <c r="K14" s="646"/>
      <c r="L14" s="644" t="s">
        <v>677</v>
      </c>
      <c r="M14" s="623"/>
    </row>
    <row r="15" spans="1:13">
      <c r="A15" s="464">
        <f t="shared" si="0"/>
        <v>9</v>
      </c>
      <c r="B15" s="643"/>
      <c r="C15" s="636"/>
      <c r="D15" s="636"/>
      <c r="E15" s="628"/>
      <c r="F15" s="647"/>
      <c r="G15" s="648">
        <v>4.1285714285714285E-3</v>
      </c>
      <c r="H15" s="637"/>
      <c r="I15" s="628"/>
      <c r="J15" s="628"/>
      <c r="K15" s="628"/>
      <c r="L15" s="628"/>
      <c r="M15" s="623"/>
    </row>
    <row r="16" spans="1:13">
      <c r="A16" s="464">
        <f t="shared" si="0"/>
        <v>10</v>
      </c>
      <c r="B16" s="643"/>
      <c r="C16" s="636"/>
      <c r="D16" s="636"/>
      <c r="E16" s="628"/>
      <c r="F16" s="647"/>
      <c r="G16" s="647"/>
      <c r="H16" s="637"/>
      <c r="I16" s="628"/>
      <c r="J16" s="628"/>
      <c r="K16" s="628"/>
      <c r="L16" s="628"/>
      <c r="M16" s="623"/>
    </row>
    <row r="17" spans="1:13">
      <c r="A17" s="464">
        <f t="shared" si="0"/>
        <v>11</v>
      </c>
      <c r="B17" s="643" t="s">
        <v>678</v>
      </c>
      <c r="C17" s="636"/>
      <c r="D17" s="636"/>
      <c r="E17" s="628"/>
      <c r="F17" s="647"/>
      <c r="G17" s="647"/>
      <c r="H17" s="637"/>
      <c r="I17" s="628"/>
      <c r="J17" s="628"/>
      <c r="K17" s="628"/>
      <c r="L17" s="628"/>
      <c r="M17" s="623"/>
    </row>
    <row r="18" spans="1:13">
      <c r="A18" s="464">
        <f t="shared" si="0"/>
        <v>12</v>
      </c>
      <c r="B18" s="649" t="s">
        <v>3</v>
      </c>
      <c r="C18" s="636"/>
      <c r="D18" s="636"/>
      <c r="E18" s="636"/>
      <c r="F18" s="636"/>
      <c r="G18" s="636" t="s">
        <v>3</v>
      </c>
      <c r="H18" s="628"/>
      <c r="I18" s="628"/>
      <c r="J18" s="628"/>
      <c r="K18" s="628"/>
      <c r="L18" s="628"/>
      <c r="M18" s="623"/>
    </row>
    <row r="19" spans="1:13">
      <c r="A19" s="464">
        <f t="shared" si="0"/>
        <v>13</v>
      </c>
      <c r="B19" s="650"/>
      <c r="C19" s="636"/>
      <c r="D19" s="636"/>
      <c r="E19" s="636"/>
      <c r="F19" s="636"/>
      <c r="G19" s="628"/>
      <c r="H19" s="628"/>
      <c r="I19" s="635"/>
      <c r="J19" s="636"/>
      <c r="K19" s="636"/>
      <c r="L19" s="636"/>
      <c r="M19" s="623"/>
    </row>
    <row r="20" spans="1:13">
      <c r="A20" s="464">
        <f t="shared" si="0"/>
        <v>14</v>
      </c>
      <c r="B20" s="650" t="s">
        <v>679</v>
      </c>
      <c r="C20" s="636"/>
      <c r="D20" s="636"/>
      <c r="E20" s="636"/>
      <c r="F20" s="636"/>
      <c r="G20" s="628"/>
      <c r="H20" s="628"/>
      <c r="I20" s="635" t="s">
        <v>680</v>
      </c>
      <c r="J20" s="636"/>
      <c r="K20" s="636"/>
      <c r="L20" s="636"/>
      <c r="M20" s="623"/>
    </row>
    <row r="21" spans="1:13">
      <c r="A21" s="464">
        <f t="shared" si="0"/>
        <v>15</v>
      </c>
      <c r="B21" s="628" t="s">
        <v>298</v>
      </c>
      <c r="C21" s="651"/>
      <c r="D21" s="628"/>
      <c r="E21" s="652">
        <f>+H10/12</f>
        <v>-373343.66252408153</v>
      </c>
      <c r="F21" s="652"/>
      <c r="G21" s="653">
        <f>+G15</f>
        <v>4.1285714285714285E-3</v>
      </c>
      <c r="H21" s="652">
        <v>12</v>
      </c>
      <c r="I21" s="652">
        <f>G21*E21*H21*-1</f>
        <v>18496.51173762164</v>
      </c>
      <c r="J21" s="652"/>
      <c r="K21" s="652"/>
      <c r="L21" s="652">
        <f>(-I21+E21)*-1</f>
        <v>391840.17426170316</v>
      </c>
      <c r="M21" s="623"/>
    </row>
    <row r="22" spans="1:13">
      <c r="A22" s="464">
        <f t="shared" si="0"/>
        <v>16</v>
      </c>
      <c r="B22" s="628" t="s">
        <v>300</v>
      </c>
      <c r="C22" s="651"/>
      <c r="D22" s="628"/>
      <c r="E22" s="652">
        <f>+E21</f>
        <v>-373343.66252408153</v>
      </c>
      <c r="F22" s="652"/>
      <c r="G22" s="653">
        <f>+G21</f>
        <v>4.1285714285714285E-3</v>
      </c>
      <c r="H22" s="31">
        <f t="shared" ref="H22:H32" si="1">+H21-1</f>
        <v>11</v>
      </c>
      <c r="I22" s="652">
        <f t="shared" ref="I22:I32" si="2">G22*E22*H22*-1</f>
        <v>16955.135759486504</v>
      </c>
      <c r="J22" s="652"/>
      <c r="K22" s="652"/>
      <c r="L22" s="652">
        <f t="shared" ref="L22:L32" si="3">(-I22+E22)*-1</f>
        <v>390298.79828356806</v>
      </c>
      <c r="M22" s="623"/>
    </row>
    <row r="23" spans="1:13">
      <c r="A23" s="464">
        <f t="shared" si="0"/>
        <v>17</v>
      </c>
      <c r="B23" s="628" t="s">
        <v>301</v>
      </c>
      <c r="C23" s="651"/>
      <c r="D23" s="628"/>
      <c r="E23" s="652">
        <f t="shared" ref="E23:E32" si="4">+E22</f>
        <v>-373343.66252408153</v>
      </c>
      <c r="F23" s="652"/>
      <c r="G23" s="653">
        <f t="shared" ref="G23:G32" si="5">+G22</f>
        <v>4.1285714285714285E-3</v>
      </c>
      <c r="H23" s="31">
        <f t="shared" si="1"/>
        <v>10</v>
      </c>
      <c r="I23" s="652">
        <f t="shared" si="2"/>
        <v>15413.759781351366</v>
      </c>
      <c r="J23" s="652"/>
      <c r="K23" s="652"/>
      <c r="L23" s="652">
        <f t="shared" si="3"/>
        <v>388757.4223054329</v>
      </c>
      <c r="M23" s="623"/>
    </row>
    <row r="24" spans="1:13">
      <c r="A24" s="464">
        <f t="shared" si="0"/>
        <v>18</v>
      </c>
      <c r="B24" s="628" t="s">
        <v>302</v>
      </c>
      <c r="C24" s="651"/>
      <c r="D24" s="628"/>
      <c r="E24" s="652">
        <f t="shared" si="4"/>
        <v>-373343.66252408153</v>
      </c>
      <c r="F24" s="652"/>
      <c r="G24" s="653">
        <f t="shared" si="5"/>
        <v>4.1285714285714285E-3</v>
      </c>
      <c r="H24" s="31">
        <f t="shared" si="1"/>
        <v>9</v>
      </c>
      <c r="I24" s="652">
        <f t="shared" si="2"/>
        <v>13872.383803216229</v>
      </c>
      <c r="J24" s="652"/>
      <c r="K24" s="652"/>
      <c r="L24" s="652">
        <f t="shared" si="3"/>
        <v>387216.04632729775</v>
      </c>
      <c r="M24" s="623"/>
    </row>
    <row r="25" spans="1:13">
      <c r="A25" s="464">
        <f t="shared" si="0"/>
        <v>19</v>
      </c>
      <c r="B25" s="628" t="s">
        <v>303</v>
      </c>
      <c r="C25" s="651"/>
      <c r="D25" s="628"/>
      <c r="E25" s="652">
        <f t="shared" si="4"/>
        <v>-373343.66252408153</v>
      </c>
      <c r="F25" s="652"/>
      <c r="G25" s="653">
        <f t="shared" si="5"/>
        <v>4.1285714285714285E-3</v>
      </c>
      <c r="H25" s="31">
        <f t="shared" si="1"/>
        <v>8</v>
      </c>
      <c r="I25" s="652">
        <f t="shared" si="2"/>
        <v>12331.007825081093</v>
      </c>
      <c r="J25" s="652"/>
      <c r="K25" s="652"/>
      <c r="L25" s="652">
        <f t="shared" si="3"/>
        <v>385674.67034916265</v>
      </c>
      <c r="M25" s="623"/>
    </row>
    <row r="26" spans="1:13">
      <c r="A26" s="464">
        <f t="shared" si="0"/>
        <v>20</v>
      </c>
      <c r="B26" s="628" t="s">
        <v>469</v>
      </c>
      <c r="C26" s="651"/>
      <c r="D26" s="628"/>
      <c r="E26" s="652">
        <f t="shared" si="4"/>
        <v>-373343.66252408153</v>
      </c>
      <c r="F26" s="652"/>
      <c r="G26" s="653">
        <f t="shared" si="5"/>
        <v>4.1285714285714285E-3</v>
      </c>
      <c r="H26" s="31">
        <f t="shared" si="1"/>
        <v>7</v>
      </c>
      <c r="I26" s="652">
        <f t="shared" si="2"/>
        <v>10789.631846945957</v>
      </c>
      <c r="J26" s="652"/>
      <c r="K26" s="652"/>
      <c r="L26" s="652">
        <f t="shared" si="3"/>
        <v>384133.2943710275</v>
      </c>
      <c r="M26" s="623"/>
    </row>
    <row r="27" spans="1:13">
      <c r="A27" s="464">
        <f t="shared" si="0"/>
        <v>21</v>
      </c>
      <c r="B27" s="628" t="s">
        <v>305</v>
      </c>
      <c r="C27" s="651"/>
      <c r="D27" s="628"/>
      <c r="E27" s="652">
        <f t="shared" si="4"/>
        <v>-373343.66252408153</v>
      </c>
      <c r="F27" s="652"/>
      <c r="G27" s="653">
        <f t="shared" si="5"/>
        <v>4.1285714285714285E-3</v>
      </c>
      <c r="H27" s="31">
        <f t="shared" si="1"/>
        <v>6</v>
      </c>
      <c r="I27" s="652">
        <f t="shared" si="2"/>
        <v>9248.2558688108202</v>
      </c>
      <c r="J27" s="652"/>
      <c r="K27" s="652"/>
      <c r="L27" s="652">
        <f t="shared" si="3"/>
        <v>382591.91839289234</v>
      </c>
      <c r="M27" s="623"/>
    </row>
    <row r="28" spans="1:13">
      <c r="A28" s="464">
        <f t="shared" si="0"/>
        <v>22</v>
      </c>
      <c r="B28" s="628" t="s">
        <v>306</v>
      </c>
      <c r="C28" s="651"/>
      <c r="D28" s="628"/>
      <c r="E28" s="652">
        <f t="shared" si="4"/>
        <v>-373343.66252408153</v>
      </c>
      <c r="F28" s="652"/>
      <c r="G28" s="653">
        <f t="shared" si="5"/>
        <v>4.1285714285714285E-3</v>
      </c>
      <c r="H28" s="31">
        <f t="shared" si="1"/>
        <v>5</v>
      </c>
      <c r="I28" s="652">
        <f t="shared" si="2"/>
        <v>7706.8798906756829</v>
      </c>
      <c r="J28" s="652"/>
      <c r="K28" s="652"/>
      <c r="L28" s="652">
        <f t="shared" si="3"/>
        <v>381050.54241475719</v>
      </c>
      <c r="M28" s="623"/>
    </row>
    <row r="29" spans="1:13">
      <c r="A29" s="464">
        <f t="shared" si="0"/>
        <v>23</v>
      </c>
      <c r="B29" s="628" t="s">
        <v>307</v>
      </c>
      <c r="C29" s="651"/>
      <c r="D29" s="628"/>
      <c r="E29" s="652">
        <f t="shared" si="4"/>
        <v>-373343.66252408153</v>
      </c>
      <c r="F29" s="652"/>
      <c r="G29" s="653">
        <f t="shared" si="5"/>
        <v>4.1285714285714285E-3</v>
      </c>
      <c r="H29" s="31">
        <f t="shared" si="1"/>
        <v>4</v>
      </c>
      <c r="I29" s="652">
        <f t="shared" si="2"/>
        <v>6165.5039125405465</v>
      </c>
      <c r="J29" s="652"/>
      <c r="K29" s="652"/>
      <c r="L29" s="652">
        <f t="shared" si="3"/>
        <v>379509.16643662209</v>
      </c>
      <c r="M29" s="623"/>
    </row>
    <row r="30" spans="1:13">
      <c r="A30" s="464">
        <f t="shared" si="0"/>
        <v>24</v>
      </c>
      <c r="B30" s="628" t="s">
        <v>314</v>
      </c>
      <c r="C30" s="651"/>
      <c r="D30" s="628"/>
      <c r="E30" s="652">
        <f t="shared" si="4"/>
        <v>-373343.66252408153</v>
      </c>
      <c r="F30" s="652"/>
      <c r="G30" s="653">
        <f t="shared" si="5"/>
        <v>4.1285714285714285E-3</v>
      </c>
      <c r="H30" s="31">
        <f t="shared" si="1"/>
        <v>3</v>
      </c>
      <c r="I30" s="652">
        <f t="shared" si="2"/>
        <v>4624.1279344054101</v>
      </c>
      <c r="J30" s="652"/>
      <c r="K30" s="652"/>
      <c r="L30" s="652">
        <f t="shared" si="3"/>
        <v>377967.79045848694</v>
      </c>
      <c r="M30" s="623"/>
    </row>
    <row r="31" spans="1:13">
      <c r="A31" s="464">
        <f t="shared" si="0"/>
        <v>25</v>
      </c>
      <c r="B31" s="628" t="s">
        <v>309</v>
      </c>
      <c r="C31" s="651"/>
      <c r="D31" s="628"/>
      <c r="E31" s="652">
        <f t="shared" si="4"/>
        <v>-373343.66252408153</v>
      </c>
      <c r="F31" s="652"/>
      <c r="G31" s="653">
        <f t="shared" si="5"/>
        <v>4.1285714285714285E-3</v>
      </c>
      <c r="H31" s="31">
        <f t="shared" si="1"/>
        <v>2</v>
      </c>
      <c r="I31" s="652">
        <f t="shared" si="2"/>
        <v>3082.7519562702732</v>
      </c>
      <c r="J31" s="652"/>
      <c r="K31" s="652"/>
      <c r="L31" s="652">
        <f t="shared" si="3"/>
        <v>376426.41448035178</v>
      </c>
      <c r="M31" s="623"/>
    </row>
    <row r="32" spans="1:13">
      <c r="A32" s="464">
        <f t="shared" si="0"/>
        <v>26</v>
      </c>
      <c r="B32" s="628" t="s">
        <v>296</v>
      </c>
      <c r="C32" s="651"/>
      <c r="D32" s="628"/>
      <c r="E32" s="652">
        <f t="shared" si="4"/>
        <v>-373343.66252408153</v>
      </c>
      <c r="F32" s="652"/>
      <c r="G32" s="653">
        <f t="shared" si="5"/>
        <v>4.1285714285714285E-3</v>
      </c>
      <c r="H32" s="31">
        <f t="shared" si="1"/>
        <v>1</v>
      </c>
      <c r="I32" s="654">
        <f t="shared" si="2"/>
        <v>1541.3759781351366</v>
      </c>
      <c r="J32" s="652"/>
      <c r="K32" s="652"/>
      <c r="L32" s="652">
        <f t="shared" si="3"/>
        <v>374885.03850221669</v>
      </c>
      <c r="M32" s="623"/>
    </row>
    <row r="33" spans="1:14">
      <c r="A33" s="464">
        <f t="shared" si="0"/>
        <v>27</v>
      </c>
      <c r="B33" s="628"/>
      <c r="C33" s="628"/>
      <c r="D33" s="628"/>
      <c r="E33" s="652"/>
      <c r="F33" s="652"/>
      <c r="G33" s="653"/>
      <c r="H33" s="31"/>
      <c r="I33" s="652">
        <f>SUM(I21:I32)</f>
        <v>120227.32629454068</v>
      </c>
      <c r="J33" s="652"/>
      <c r="K33" s="652"/>
      <c r="L33" s="655">
        <f>SUM(L21:L32)</f>
        <v>4600351.2765835179</v>
      </c>
      <c r="M33" s="623"/>
    </row>
    <row r="34" spans="1:14">
      <c r="A34" s="464">
        <f t="shared" si="0"/>
        <v>28</v>
      </c>
      <c r="B34" s="628"/>
      <c r="C34" s="628"/>
      <c r="D34" s="628"/>
      <c r="E34" s="652"/>
      <c r="F34" s="652"/>
      <c r="G34" s="653"/>
      <c r="H34" s="652"/>
      <c r="I34" s="652"/>
      <c r="J34" s="652" t="s">
        <v>3</v>
      </c>
      <c r="K34" s="652"/>
      <c r="M34" s="623"/>
    </row>
    <row r="35" spans="1:14">
      <c r="A35" s="464">
        <f t="shared" si="0"/>
        <v>29</v>
      </c>
      <c r="B35" s="628"/>
      <c r="C35" s="628"/>
      <c r="D35" s="628"/>
      <c r="E35" s="637"/>
      <c r="F35" s="637"/>
      <c r="G35" s="653"/>
      <c r="H35" s="652"/>
      <c r="I35" s="656" t="s">
        <v>681</v>
      </c>
      <c r="J35" s="652"/>
      <c r="K35" s="652"/>
      <c r="L35" s="652"/>
      <c r="M35" s="623"/>
    </row>
    <row r="36" spans="1:14">
      <c r="A36" s="464">
        <f t="shared" si="0"/>
        <v>30</v>
      </c>
      <c r="B36" s="628" t="s">
        <v>682</v>
      </c>
      <c r="C36" s="651"/>
      <c r="D36" s="628"/>
      <c r="E36" s="637">
        <f>L33</f>
        <v>4600351.2765835179</v>
      </c>
      <c r="F36" s="637"/>
      <c r="G36" s="653">
        <f>+G32</f>
        <v>4.1285714285714285E-3</v>
      </c>
      <c r="H36" s="652">
        <v>12</v>
      </c>
      <c r="I36" s="652">
        <f>+H36*G36*E36</f>
        <v>227914.54610273769</v>
      </c>
      <c r="J36" s="652"/>
      <c r="K36" s="652"/>
      <c r="L36" s="655">
        <f>+E36+I36</f>
        <v>4828265.8226862559</v>
      </c>
      <c r="M36" s="623"/>
    </row>
    <row r="37" spans="1:14">
      <c r="A37" s="464">
        <f t="shared" si="0"/>
        <v>31</v>
      </c>
      <c r="B37" s="628"/>
      <c r="C37" s="628"/>
      <c r="D37" s="628"/>
      <c r="E37" s="637"/>
      <c r="F37" s="637"/>
      <c r="G37" s="653"/>
      <c r="H37" s="628"/>
      <c r="I37" s="652"/>
      <c r="J37" s="652"/>
      <c r="K37" s="652"/>
      <c r="L37" s="652"/>
      <c r="M37" s="623"/>
    </row>
    <row r="38" spans="1:14">
      <c r="A38" s="464">
        <f t="shared" si="0"/>
        <v>32</v>
      </c>
      <c r="B38" s="657" t="s">
        <v>683</v>
      </c>
      <c r="C38" s="628"/>
      <c r="D38" s="628"/>
      <c r="E38" s="652"/>
      <c r="F38" s="652"/>
      <c r="G38" s="653"/>
      <c r="H38" s="628"/>
      <c r="I38" s="656" t="s">
        <v>680</v>
      </c>
      <c r="J38" s="652"/>
      <c r="K38" s="652"/>
      <c r="L38" s="652"/>
      <c r="M38" s="623"/>
    </row>
    <row r="39" spans="1:14">
      <c r="A39" s="464">
        <f t="shared" si="0"/>
        <v>33</v>
      </c>
      <c r="B39" s="628" t="s">
        <v>298</v>
      </c>
      <c r="C39" s="651"/>
      <c r="D39" s="628"/>
      <c r="E39" s="658">
        <f>-L36</f>
        <v>-4828265.8226862559</v>
      </c>
      <c r="F39" s="637"/>
      <c r="G39" s="653">
        <f>+G32</f>
        <v>4.1285714285714285E-3</v>
      </c>
      <c r="H39" s="628"/>
      <c r="I39" s="652">
        <f xml:space="preserve"> -G39*E39</f>
        <v>19933.840325090398</v>
      </c>
      <c r="J39" s="652">
        <f>PMT(G39,12,L$36)</f>
        <v>-413234.53724432312</v>
      </c>
      <c r="K39" s="652"/>
      <c r="L39" s="652">
        <f>(+E39+E39*G39-J39)*-1</f>
        <v>4434965.1257670233</v>
      </c>
      <c r="M39" s="659"/>
      <c r="N39" s="660"/>
    </row>
    <row r="40" spans="1:14">
      <c r="A40" s="464">
        <f t="shared" si="0"/>
        <v>34</v>
      </c>
      <c r="B40" s="628" t="s">
        <v>300</v>
      </c>
      <c r="C40" s="651"/>
      <c r="D40" s="628"/>
      <c r="E40" s="637">
        <f>-L39</f>
        <v>-4434965.1257670233</v>
      </c>
      <c r="F40" s="637"/>
      <c r="G40" s="653">
        <f>+G39</f>
        <v>4.1285714285714285E-3</v>
      </c>
      <c r="H40" s="628"/>
      <c r="I40" s="652">
        <f t="shared" ref="I40:I50" si="6" xml:space="preserve"> -G40*E40</f>
        <v>18310.070304952424</v>
      </c>
      <c r="J40" s="652">
        <f>J39</f>
        <v>-413234.53724432312</v>
      </c>
      <c r="K40" s="652"/>
      <c r="L40" s="652">
        <f t="shared" ref="L40:L50" si="7">(+E40+E40*G40-J40)*-1</f>
        <v>4040040.6588276527</v>
      </c>
      <c r="M40" s="659"/>
      <c r="N40" s="660"/>
    </row>
    <row r="41" spans="1:14">
      <c r="A41" s="464">
        <f t="shared" si="0"/>
        <v>35</v>
      </c>
      <c r="B41" s="628" t="s">
        <v>301</v>
      </c>
      <c r="C41" s="651"/>
      <c r="D41" s="628"/>
      <c r="E41" s="637">
        <f t="shared" ref="E41:E50" si="8">-L40</f>
        <v>-4040040.6588276527</v>
      </c>
      <c r="F41" s="637"/>
      <c r="G41" s="653">
        <f t="shared" ref="G41:G50" si="9">+G40</f>
        <v>4.1285714285714285E-3</v>
      </c>
      <c r="H41" s="628"/>
      <c r="I41" s="652">
        <f t="shared" si="6"/>
        <v>16679.596434302737</v>
      </c>
      <c r="J41" s="652">
        <f t="shared" ref="J41:J50" si="10">J40</f>
        <v>-413234.53724432312</v>
      </c>
      <c r="K41" s="652"/>
      <c r="L41" s="652">
        <f t="shared" si="7"/>
        <v>3643485.7180176321</v>
      </c>
      <c r="M41" s="659"/>
      <c r="N41" s="660"/>
    </row>
    <row r="42" spans="1:14">
      <c r="A42" s="464">
        <f t="shared" si="0"/>
        <v>36</v>
      </c>
      <c r="B42" s="628" t="s">
        <v>302</v>
      </c>
      <c r="C42" s="651"/>
      <c r="D42" s="628"/>
      <c r="E42" s="637">
        <f t="shared" si="8"/>
        <v>-3643485.7180176321</v>
      </c>
      <c r="F42" s="637"/>
      <c r="G42" s="653">
        <f t="shared" si="9"/>
        <v>4.1285714285714285E-3</v>
      </c>
      <c r="H42" s="628"/>
      <c r="I42" s="652">
        <f t="shared" si="6"/>
        <v>15042.391035815652</v>
      </c>
      <c r="J42" s="652">
        <f t="shared" si="10"/>
        <v>-413234.53724432312</v>
      </c>
      <c r="K42" s="652"/>
      <c r="L42" s="652">
        <f t="shared" si="7"/>
        <v>3245293.5718091247</v>
      </c>
      <c r="M42" s="659"/>
      <c r="N42" s="660"/>
    </row>
    <row r="43" spans="1:14">
      <c r="A43" s="464">
        <f t="shared" si="0"/>
        <v>37</v>
      </c>
      <c r="B43" s="628" t="s">
        <v>303</v>
      </c>
      <c r="C43" s="651"/>
      <c r="D43" s="628"/>
      <c r="E43" s="637">
        <f t="shared" si="8"/>
        <v>-3245293.5718091247</v>
      </c>
      <c r="F43" s="637"/>
      <c r="G43" s="653">
        <f t="shared" si="9"/>
        <v>4.1285714285714285E-3</v>
      </c>
      <c r="H43" s="628"/>
      <c r="I43" s="652">
        <f t="shared" si="6"/>
        <v>13398.426317897671</v>
      </c>
      <c r="J43" s="652">
        <f t="shared" si="10"/>
        <v>-413234.53724432312</v>
      </c>
      <c r="K43" s="652"/>
      <c r="L43" s="652">
        <f t="shared" si="7"/>
        <v>2845457.4608826991</v>
      </c>
      <c r="M43" s="659"/>
      <c r="N43" s="660"/>
    </row>
    <row r="44" spans="1:14">
      <c r="A44" s="464">
        <f t="shared" si="0"/>
        <v>38</v>
      </c>
      <c r="B44" s="628" t="s">
        <v>469</v>
      </c>
      <c r="C44" s="651"/>
      <c r="D44" s="628"/>
      <c r="E44" s="637">
        <f t="shared" si="8"/>
        <v>-2845457.4608826991</v>
      </c>
      <c r="F44" s="637"/>
      <c r="G44" s="653">
        <f t="shared" si="9"/>
        <v>4.1285714285714285E-3</v>
      </c>
      <c r="H44" s="628"/>
      <c r="I44" s="652">
        <f t="shared" si="6"/>
        <v>11747.674374215714</v>
      </c>
      <c r="J44" s="652">
        <f t="shared" si="10"/>
        <v>-413234.53724432312</v>
      </c>
      <c r="K44" s="652"/>
      <c r="L44" s="652">
        <f t="shared" si="7"/>
        <v>2443970.5980125917</v>
      </c>
      <c r="M44" s="659"/>
      <c r="N44" s="660"/>
    </row>
    <row r="45" spans="1:14">
      <c r="A45" s="464">
        <f t="shared" si="0"/>
        <v>39</v>
      </c>
      <c r="B45" s="628" t="s">
        <v>305</v>
      </c>
      <c r="C45" s="651"/>
      <c r="D45" s="628"/>
      <c r="E45" s="637">
        <f t="shared" si="8"/>
        <v>-2443970.5980125917</v>
      </c>
      <c r="F45" s="637"/>
      <c r="G45" s="653">
        <f t="shared" si="9"/>
        <v>4.1285714285714285E-3</v>
      </c>
      <c r="H45" s="628"/>
      <c r="I45" s="652">
        <f t="shared" si="6"/>
        <v>10090.107183223414</v>
      </c>
      <c r="J45" s="652">
        <f t="shared" si="10"/>
        <v>-413234.53724432312</v>
      </c>
      <c r="K45" s="652"/>
      <c r="L45" s="652">
        <f t="shared" si="7"/>
        <v>2040826.1679514921</v>
      </c>
      <c r="M45" s="659"/>
      <c r="N45" s="660"/>
    </row>
    <row r="46" spans="1:14">
      <c r="A46" s="464">
        <f t="shared" si="0"/>
        <v>40</v>
      </c>
      <c r="B46" s="628" t="s">
        <v>306</v>
      </c>
      <c r="C46" s="651"/>
      <c r="D46" s="628"/>
      <c r="E46" s="637">
        <f t="shared" si="8"/>
        <v>-2040826.1679514921</v>
      </c>
      <c r="F46" s="637"/>
      <c r="G46" s="653">
        <f t="shared" si="9"/>
        <v>4.1285714285714285E-3</v>
      </c>
      <c r="H46" s="628"/>
      <c r="I46" s="652">
        <f t="shared" si="6"/>
        <v>8425.696607685446</v>
      </c>
      <c r="J46" s="652">
        <f t="shared" si="10"/>
        <v>-413234.53724432312</v>
      </c>
      <c r="K46" s="652"/>
      <c r="L46" s="652">
        <f t="shared" si="7"/>
        <v>1636017.3273148544</v>
      </c>
      <c r="M46" s="659"/>
      <c r="N46" s="660"/>
    </row>
    <row r="47" spans="1:14">
      <c r="A47" s="464">
        <f t="shared" si="0"/>
        <v>41</v>
      </c>
      <c r="B47" s="628" t="s">
        <v>307</v>
      </c>
      <c r="C47" s="651"/>
      <c r="D47" s="628"/>
      <c r="E47" s="637">
        <f t="shared" si="8"/>
        <v>-1636017.3273148544</v>
      </c>
      <c r="F47" s="637"/>
      <c r="G47" s="653">
        <f t="shared" si="9"/>
        <v>4.1285714285714285E-3</v>
      </c>
      <c r="H47" s="628"/>
      <c r="I47" s="652">
        <f t="shared" si="6"/>
        <v>6754.4143941998982</v>
      </c>
      <c r="J47" s="652">
        <f t="shared" si="10"/>
        <v>-413234.53724432312</v>
      </c>
      <c r="K47" s="652"/>
      <c r="L47" s="652">
        <f t="shared" si="7"/>
        <v>1229537.204464731</v>
      </c>
      <c r="M47" s="659"/>
      <c r="N47" s="660"/>
    </row>
    <row r="48" spans="1:14">
      <c r="A48" s="464">
        <f t="shared" si="0"/>
        <v>42</v>
      </c>
      <c r="B48" s="628" t="s">
        <v>314</v>
      </c>
      <c r="C48" s="651"/>
      <c r="D48" s="628"/>
      <c r="E48" s="637">
        <f t="shared" si="8"/>
        <v>-1229537.204464731</v>
      </c>
      <c r="F48" s="637"/>
      <c r="G48" s="653">
        <f t="shared" si="9"/>
        <v>4.1285714285714285E-3</v>
      </c>
      <c r="H48" s="628"/>
      <c r="I48" s="652">
        <f t="shared" si="6"/>
        <v>5076.2321727186754</v>
      </c>
      <c r="J48" s="652">
        <f t="shared" si="10"/>
        <v>-413234.53724432312</v>
      </c>
      <c r="K48" s="652"/>
      <c r="L48" s="652">
        <f t="shared" si="7"/>
        <v>821378.8993931266</v>
      </c>
      <c r="M48" s="659"/>
      <c r="N48" s="660"/>
    </row>
    <row r="49" spans="1:14">
      <c r="A49" s="464">
        <f t="shared" si="0"/>
        <v>43</v>
      </c>
      <c r="B49" s="628" t="s">
        <v>309</v>
      </c>
      <c r="C49" s="651"/>
      <c r="D49" s="628"/>
      <c r="E49" s="637">
        <f t="shared" si="8"/>
        <v>-821378.8993931266</v>
      </c>
      <c r="F49" s="637"/>
      <c r="G49" s="653">
        <f t="shared" si="9"/>
        <v>4.1285714285714285E-3</v>
      </c>
      <c r="H49" s="628"/>
      <c r="I49" s="652">
        <f t="shared" si="6"/>
        <v>3391.1214560659082</v>
      </c>
      <c r="J49" s="652">
        <f t="shared" si="10"/>
        <v>-413234.53724432312</v>
      </c>
      <c r="K49" s="652"/>
      <c r="L49" s="652">
        <f t="shared" si="7"/>
        <v>411535.4836048694</v>
      </c>
      <c r="M49" s="659"/>
      <c r="N49" s="660"/>
    </row>
    <row r="50" spans="1:14">
      <c r="A50" s="464">
        <f t="shared" si="0"/>
        <v>44</v>
      </c>
      <c r="B50" s="628" t="s">
        <v>296</v>
      </c>
      <c r="C50" s="651"/>
      <c r="D50" s="628"/>
      <c r="E50" s="637">
        <f t="shared" si="8"/>
        <v>-411535.4836048694</v>
      </c>
      <c r="F50" s="637"/>
      <c r="G50" s="653">
        <f t="shared" si="9"/>
        <v>4.1285714285714285E-3</v>
      </c>
      <c r="H50" s="628"/>
      <c r="I50" s="654">
        <f t="shared" si="6"/>
        <v>1699.0536394543894</v>
      </c>
      <c r="J50" s="652">
        <f t="shared" si="10"/>
        <v>-413234.53724432312</v>
      </c>
      <c r="K50" s="652"/>
      <c r="L50" s="652">
        <f t="shared" si="7"/>
        <v>6.9849193096160889E-10</v>
      </c>
      <c r="M50" s="659"/>
      <c r="N50" s="660"/>
    </row>
    <row r="51" spans="1:14">
      <c r="A51" s="464">
        <f t="shared" si="0"/>
        <v>45</v>
      </c>
      <c r="B51" s="628"/>
      <c r="C51" s="628"/>
      <c r="D51" s="628"/>
      <c r="E51" s="637"/>
      <c r="F51" s="637"/>
      <c r="G51" s="653"/>
      <c r="H51" s="628"/>
      <c r="I51" s="652">
        <f>SUM(I39:I50)</f>
        <v>130548.62424562233</v>
      </c>
      <c r="J51" s="652"/>
      <c r="K51" s="652"/>
      <c r="L51" s="652"/>
      <c r="M51" s="659"/>
      <c r="N51" s="660"/>
    </row>
    <row r="52" spans="1:14">
      <c r="A52" s="464">
        <f t="shared" si="0"/>
        <v>46</v>
      </c>
      <c r="M52" s="623"/>
    </row>
    <row r="53" spans="1:14">
      <c r="A53" s="464">
        <f t="shared" si="0"/>
        <v>47</v>
      </c>
      <c r="B53" s="628" t="s">
        <v>684</v>
      </c>
      <c r="J53" s="661">
        <f>SUM(J39:J50)*-1</f>
        <v>4958814.4469318772</v>
      </c>
      <c r="M53" s="623"/>
    </row>
    <row r="54" spans="1:14">
      <c r="A54" s="464">
        <f t="shared" si="0"/>
        <v>48</v>
      </c>
      <c r="B54" s="628" t="s">
        <v>685</v>
      </c>
      <c r="J54" s="661">
        <f>+H10</f>
        <v>-4480123.9502889784</v>
      </c>
      <c r="M54" s="623"/>
    </row>
    <row r="55" spans="1:14">
      <c r="A55" s="464">
        <f t="shared" si="0"/>
        <v>49</v>
      </c>
      <c r="B55" s="628" t="s">
        <v>686</v>
      </c>
      <c r="J55" s="661">
        <f>(J53+J54)</f>
        <v>478690.49664289877</v>
      </c>
      <c r="M55" s="623"/>
    </row>
    <row r="56" spans="1:14">
      <c r="A56" s="464"/>
      <c r="B56" s="628"/>
      <c r="J56" s="661"/>
      <c r="M56" s="623"/>
    </row>
    <row r="57" spans="1:14">
      <c r="B57" s="628" t="s">
        <v>687</v>
      </c>
    </row>
    <row r="58" spans="1:14">
      <c r="B58" s="628" t="s">
        <v>688</v>
      </c>
      <c r="G58" s="662"/>
      <c r="J58" s="661"/>
    </row>
    <row r="59" spans="1:14">
      <c r="B59" s="628" t="s">
        <v>689</v>
      </c>
    </row>
    <row r="60" spans="1:14">
      <c r="B60" s="628" t="s">
        <v>690</v>
      </c>
      <c r="G60" s="662"/>
      <c r="J60" s="663"/>
    </row>
    <row r="61" spans="1:14">
      <c r="B61" s="628" t="s">
        <v>691</v>
      </c>
      <c r="E61" s="664"/>
      <c r="G61" s="662"/>
      <c r="J61" s="663"/>
    </row>
    <row r="62" spans="1:14">
      <c r="J62" s="664"/>
    </row>
    <row r="64" spans="1:14">
      <c r="B64" s="628"/>
    </row>
  </sheetData>
  <mergeCells count="4">
    <mergeCell ref="B1:L1"/>
    <mergeCell ref="B2:L2"/>
    <mergeCell ref="B3:L3"/>
    <mergeCell ref="B4:L4"/>
  </mergeCells>
  <pageMargins left="0.75" right="0.75" top="1" bottom="1" header="0.5" footer="0.5"/>
  <pageSetup scale="4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C6785-7F7F-4E79-BCDB-513A75A63312}">
  <sheetPr>
    <pageSetUpPr fitToPage="1"/>
  </sheetPr>
  <dimension ref="A1:T156"/>
  <sheetViews>
    <sheetView view="pageBreakPreview" zoomScale="85" zoomScaleNormal="80" zoomScaleSheetLayoutView="85" workbookViewId="0">
      <selection activeCell="G16" sqref="G16"/>
    </sheetView>
  </sheetViews>
  <sheetFormatPr defaultColWidth="8.77734375" defaultRowHeight="15.75"/>
  <cols>
    <col min="1" max="1" width="5.5546875" style="547" customWidth="1"/>
    <col min="2" max="2" width="28" style="539" customWidth="1"/>
    <col min="3" max="3" width="10.5546875" style="547" bestFit="1" customWidth="1"/>
    <col min="4" max="4" width="9.77734375" style="547" bestFit="1" customWidth="1"/>
    <col min="5" max="5" width="16.21875" style="547" customWidth="1"/>
    <col min="6" max="6" width="12" style="547" customWidth="1"/>
    <col min="7" max="7" width="11.77734375" style="547" customWidth="1"/>
    <col min="8" max="8" width="12" style="665" customWidth="1"/>
    <col min="9" max="9" width="32" style="665" customWidth="1"/>
    <col min="10" max="10" width="8.77734375" style="665"/>
    <col min="11" max="11" width="12" style="665" customWidth="1"/>
    <col min="12" max="12" width="12.77734375" style="665" customWidth="1"/>
    <col min="13" max="16384" width="8.77734375" style="665"/>
  </cols>
  <sheetData>
    <row r="1" spans="1:20" ht="18" customHeight="1">
      <c r="A1" s="542" t="s">
        <v>692</v>
      </c>
      <c r="B1" s="542"/>
      <c r="C1" s="542"/>
      <c r="D1" s="542"/>
      <c r="E1" s="542"/>
      <c r="F1" s="542"/>
      <c r="G1" s="542"/>
      <c r="H1" s="542"/>
      <c r="I1" s="542"/>
      <c r="J1" s="547"/>
      <c r="K1" s="547"/>
      <c r="L1" s="547"/>
    </row>
    <row r="2" spans="1:20" ht="18" customHeight="1">
      <c r="A2" s="544" t="str">
        <f>'Appendix III'!D7:D7</f>
        <v>Horizon West Transmission, LLC</v>
      </c>
      <c r="B2" s="544"/>
      <c r="C2" s="544"/>
      <c r="D2" s="544"/>
      <c r="E2" s="544"/>
      <c r="F2" s="544"/>
      <c r="G2" s="544"/>
      <c r="H2" s="544"/>
      <c r="I2" s="544"/>
      <c r="J2" s="555"/>
      <c r="K2" s="555"/>
      <c r="L2" s="555"/>
    </row>
    <row r="3" spans="1:20" ht="18" customHeight="1">
      <c r="A3" s="542" t="str">
        <f>+'Appendix III'!M7</f>
        <v>For the 12 months ended 12/31/2020</v>
      </c>
      <c r="B3" s="542"/>
      <c r="C3" s="542"/>
      <c r="D3" s="542"/>
      <c r="E3" s="542"/>
      <c r="F3" s="542"/>
      <c r="G3" s="542"/>
      <c r="H3" s="666"/>
      <c r="I3" s="542"/>
      <c r="J3" s="547"/>
      <c r="K3" s="547"/>
      <c r="L3" s="547"/>
    </row>
    <row r="4" spans="1:20" ht="18" customHeight="1">
      <c r="A4" s="546"/>
      <c r="B4" s="546"/>
      <c r="C4" s="546"/>
      <c r="D4" s="546"/>
      <c r="E4" s="546"/>
      <c r="F4" s="546"/>
      <c r="G4" s="546"/>
      <c r="H4" s="546"/>
      <c r="I4" s="546"/>
      <c r="J4" s="547"/>
      <c r="K4" s="547"/>
      <c r="L4" s="547"/>
    </row>
    <row r="5" spans="1:20" ht="18">
      <c r="B5" s="546" t="s">
        <v>186</v>
      </c>
      <c r="C5" s="546"/>
      <c r="D5" s="667"/>
      <c r="E5" s="667" t="s">
        <v>188</v>
      </c>
      <c r="F5" s="667" t="s">
        <v>190</v>
      </c>
      <c r="G5" s="667" t="s">
        <v>193</v>
      </c>
      <c r="H5" s="667" t="s">
        <v>196</v>
      </c>
      <c r="I5" s="668"/>
    </row>
    <row r="6" spans="1:20">
      <c r="B6" s="665"/>
      <c r="C6" s="665"/>
      <c r="D6" s="665"/>
      <c r="E6" s="665"/>
      <c r="F6" s="665"/>
      <c r="G6" s="665"/>
      <c r="H6" s="667" t="s">
        <v>693</v>
      </c>
      <c r="I6" s="547"/>
      <c r="T6" s="667"/>
    </row>
    <row r="7" spans="1:20">
      <c r="A7" s="669" t="s">
        <v>694</v>
      </c>
      <c r="B7" s="669" t="s">
        <v>695</v>
      </c>
      <c r="C7" s="670"/>
      <c r="D7" s="671"/>
      <c r="E7" s="672" t="s">
        <v>389</v>
      </c>
      <c r="F7" s="672" t="s">
        <v>696</v>
      </c>
      <c r="G7" s="672" t="s">
        <v>697</v>
      </c>
      <c r="H7" s="672" t="s">
        <v>48</v>
      </c>
      <c r="I7" s="670"/>
      <c r="T7" s="667"/>
    </row>
    <row r="8" spans="1:20">
      <c r="B8" s="673"/>
      <c r="D8" s="665"/>
      <c r="H8" s="547"/>
      <c r="I8" s="547"/>
      <c r="L8" s="674"/>
    </row>
    <row r="9" spans="1:20" ht="20.25" customHeight="1">
      <c r="A9" s="547">
        <v>1</v>
      </c>
      <c r="B9" s="547" t="s">
        <v>698</v>
      </c>
      <c r="D9" s="665"/>
      <c r="E9" s="31">
        <f>F24</f>
        <v>-430377.09657534253</v>
      </c>
      <c r="F9" s="31">
        <f>G24</f>
        <v>0</v>
      </c>
      <c r="G9" s="31">
        <f>H24</f>
        <v>0</v>
      </c>
      <c r="H9" s="31"/>
      <c r="I9" s="547" t="s">
        <v>699</v>
      </c>
    </row>
    <row r="10" spans="1:20" ht="20.25" customHeight="1">
      <c r="A10" s="547">
        <f t="shared" ref="A10:A16" si="0">+A9+1</f>
        <v>2</v>
      </c>
      <c r="B10" s="547" t="s">
        <v>700</v>
      </c>
      <c r="D10" s="665"/>
      <c r="E10" s="31">
        <f>F31</f>
        <v>-4598618</v>
      </c>
      <c r="F10" s="31">
        <f>G31</f>
        <v>0</v>
      </c>
      <c r="G10" s="31">
        <f>H31</f>
        <v>0</v>
      </c>
      <c r="H10" s="31"/>
      <c r="I10" s="547" t="s">
        <v>701</v>
      </c>
    </row>
    <row r="11" spans="1:20" ht="20.25" customHeight="1">
      <c r="A11" s="547">
        <f t="shared" si="0"/>
        <v>3</v>
      </c>
      <c r="B11" s="547" t="s">
        <v>702</v>
      </c>
      <c r="D11" s="665"/>
      <c r="E11" s="31">
        <f>F38</f>
        <v>0</v>
      </c>
      <c r="F11" s="31">
        <f>G38</f>
        <v>0</v>
      </c>
      <c r="G11" s="31">
        <f>H38</f>
        <v>0</v>
      </c>
      <c r="H11" s="31"/>
      <c r="I11" s="547" t="s">
        <v>703</v>
      </c>
    </row>
    <row r="12" spans="1:20" ht="20.25" customHeight="1">
      <c r="A12" s="547">
        <f t="shared" si="0"/>
        <v>4</v>
      </c>
      <c r="B12" s="547" t="s">
        <v>704</v>
      </c>
      <c r="D12" s="665"/>
      <c r="E12" s="31">
        <f>SUM(E9:E11)</f>
        <v>-5028995.0965753421</v>
      </c>
      <c r="F12" s="31">
        <f>SUM(F9:F11)</f>
        <v>0</v>
      </c>
      <c r="G12" s="31">
        <f>SUM(G9:G11)</f>
        <v>0</v>
      </c>
      <c r="H12" s="31"/>
      <c r="I12" s="675" t="s">
        <v>705</v>
      </c>
    </row>
    <row r="13" spans="1:20" ht="20.25" customHeight="1">
      <c r="A13" s="547">
        <f t="shared" si="0"/>
        <v>5</v>
      </c>
      <c r="B13" s="547" t="s">
        <v>706</v>
      </c>
      <c r="D13" s="665"/>
      <c r="G13" s="165">
        <f>+'Appendix III'!J183</f>
        <v>1</v>
      </c>
      <c r="H13" s="547"/>
      <c r="I13" s="547" t="s">
        <v>707</v>
      </c>
    </row>
    <row r="14" spans="1:20" ht="20.25" customHeight="1">
      <c r="A14" s="547">
        <f t="shared" si="0"/>
        <v>6</v>
      </c>
      <c r="B14" s="547" t="s">
        <v>708</v>
      </c>
      <c r="D14" s="665"/>
      <c r="F14" s="676">
        <f>+'Appendix III'!H78</f>
        <v>1</v>
      </c>
      <c r="H14" s="547"/>
      <c r="I14" s="547" t="s">
        <v>709</v>
      </c>
    </row>
    <row r="15" spans="1:20" ht="20.25" customHeight="1">
      <c r="A15" s="547">
        <f t="shared" si="0"/>
        <v>7</v>
      </c>
      <c r="B15" s="547" t="s">
        <v>710</v>
      </c>
      <c r="D15" s="665"/>
      <c r="E15" s="676">
        <v>1</v>
      </c>
      <c r="F15" s="676"/>
      <c r="H15" s="547"/>
      <c r="I15" s="677">
        <v>1</v>
      </c>
    </row>
    <row r="16" spans="1:20" ht="20.25" customHeight="1">
      <c r="A16" s="547">
        <f t="shared" si="0"/>
        <v>8</v>
      </c>
      <c r="B16" s="547" t="s">
        <v>711</v>
      </c>
      <c r="D16" s="665"/>
      <c r="E16" s="31">
        <f>+E15*E12</f>
        <v>-5028995.0965753421</v>
      </c>
      <c r="F16" s="31">
        <f>+F14*F12</f>
        <v>0</v>
      </c>
      <c r="G16" s="31">
        <f>+G13*G12</f>
        <v>0</v>
      </c>
      <c r="H16" s="31">
        <f>+E16+F16+G16</f>
        <v>-5028995.0965753421</v>
      </c>
      <c r="I16" s="678" t="s">
        <v>712</v>
      </c>
    </row>
    <row r="17" spans="1:17">
      <c r="B17" s="547"/>
      <c r="D17" s="665"/>
      <c r="E17" s="31"/>
      <c r="F17" s="31"/>
      <c r="G17" s="31"/>
      <c r="H17" s="31"/>
      <c r="I17" s="678"/>
    </row>
    <row r="18" spans="1:17">
      <c r="B18" s="547"/>
      <c r="D18" s="675"/>
      <c r="G18" s="31"/>
      <c r="I18" s="667"/>
    </row>
    <row r="19" spans="1:17">
      <c r="B19" s="546" t="s">
        <v>174</v>
      </c>
      <c r="C19" s="546" t="s">
        <v>370</v>
      </c>
      <c r="D19" s="546" t="s">
        <v>713</v>
      </c>
      <c r="E19" s="546" t="s">
        <v>714</v>
      </c>
      <c r="F19" s="546" t="s">
        <v>715</v>
      </c>
      <c r="G19" s="667" t="s">
        <v>716</v>
      </c>
      <c r="H19" s="667" t="s">
        <v>717</v>
      </c>
      <c r="I19" s="667"/>
    </row>
    <row r="20" spans="1:17" ht="31.5">
      <c r="A20" s="679"/>
      <c r="B20" s="680" t="s">
        <v>718</v>
      </c>
      <c r="C20" s="680" t="s">
        <v>719</v>
      </c>
      <c r="D20" s="680" t="s">
        <v>294</v>
      </c>
      <c r="E20" s="680" t="s">
        <v>720</v>
      </c>
      <c r="F20" s="680" t="s">
        <v>389</v>
      </c>
      <c r="G20" s="680" t="s">
        <v>696</v>
      </c>
      <c r="H20" s="680" t="s">
        <v>697</v>
      </c>
      <c r="I20" s="680"/>
      <c r="Q20" s="667"/>
    </row>
    <row r="21" spans="1:17">
      <c r="A21" s="547" t="s">
        <v>721</v>
      </c>
      <c r="D21" s="546"/>
      <c r="E21" s="546"/>
      <c r="F21" s="546"/>
      <c r="G21" s="665"/>
      <c r="Q21" s="667"/>
    </row>
    <row r="22" spans="1:17" ht="20.25" customHeight="1">
      <c r="A22" s="673">
        <f>A16+1</f>
        <v>9</v>
      </c>
      <c r="B22" s="539" t="s">
        <v>722</v>
      </c>
      <c r="C22" s="547" t="s">
        <v>296</v>
      </c>
      <c r="D22" s="681" t="s">
        <v>723</v>
      </c>
      <c r="E22" s="31">
        <f>'6c- ADIT BOY'!C54</f>
        <v>-284221</v>
      </c>
      <c r="F22" s="31">
        <f>'6c- ADIT BOY'!E54</f>
        <v>-284221</v>
      </c>
      <c r="G22" s="31">
        <f>'6c- ADIT BOY'!F54</f>
        <v>0</v>
      </c>
      <c r="H22" s="31">
        <f>'6c- ADIT BOY'!G54</f>
        <v>0</v>
      </c>
      <c r="I22" s="682"/>
    </row>
    <row r="23" spans="1:17" ht="20.25" customHeight="1">
      <c r="A23" s="673">
        <f>A22+1</f>
        <v>10</v>
      </c>
      <c r="B23" s="539" t="s">
        <v>724</v>
      </c>
      <c r="C23" s="547" t="s">
        <v>296</v>
      </c>
      <c r="D23" s="681" t="s">
        <v>723</v>
      </c>
      <c r="E23" s="31">
        <f>'6d- ADIT EOY'!C54-'6d- ADIT EOY'!C50</f>
        <v>0</v>
      </c>
      <c r="F23" s="31">
        <f>'6d- ADIT EOY'!E54-'6d- ADIT EOY'!E50</f>
        <v>0</v>
      </c>
      <c r="G23" s="31">
        <f>'6d- ADIT EOY'!F54-'6d- ADIT EOY'!F50</f>
        <v>0</v>
      </c>
      <c r="H23" s="31">
        <f>'6d- ADIT EOY'!G54-'6d- ADIT EOY'!G50</f>
        <v>0</v>
      </c>
      <c r="I23" s="682"/>
    </row>
    <row r="24" spans="1:17" ht="20.25" customHeight="1">
      <c r="A24" s="673">
        <f t="shared" ref="A24:A25" si="1">A23+1</f>
        <v>11</v>
      </c>
      <c r="B24" s="539" t="s">
        <v>725</v>
      </c>
      <c r="C24" s="547" t="s">
        <v>296</v>
      </c>
      <c r="D24" s="681" t="str">
        <f>D23</f>
        <v>-</v>
      </c>
      <c r="E24" s="31">
        <f>'6b-ADIT Projection Proration'!F22</f>
        <v>-599728</v>
      </c>
      <c r="F24" s="31">
        <f>'6b-ADIT Projection Proration'!H22</f>
        <v>-430377.09657534253</v>
      </c>
      <c r="G24" s="31">
        <f>'6b-ADIT Projection Proration'!J22</f>
        <v>0</v>
      </c>
      <c r="H24" s="31">
        <f>'6b-ADIT Projection Proration'!L22</f>
        <v>0</v>
      </c>
      <c r="I24" s="682"/>
    </row>
    <row r="25" spans="1:17">
      <c r="A25" s="673">
        <f t="shared" si="1"/>
        <v>12</v>
      </c>
      <c r="B25" s="539" t="s">
        <v>726</v>
      </c>
      <c r="E25" s="550">
        <f>E23+E24</f>
        <v>-599728</v>
      </c>
      <c r="F25" s="550">
        <f t="shared" ref="F25:H25" si="2">F23+F24</f>
        <v>-430377.09657534253</v>
      </c>
      <c r="G25" s="550">
        <f t="shared" si="2"/>
        <v>0</v>
      </c>
      <c r="H25" s="550">
        <f t="shared" si="2"/>
        <v>0</v>
      </c>
      <c r="I25" s="676"/>
    </row>
    <row r="26" spans="1:17">
      <c r="A26" s="673"/>
      <c r="G26" s="665"/>
    </row>
    <row r="27" spans="1:17" ht="20.25" customHeight="1">
      <c r="A27" s="547" t="s">
        <v>727</v>
      </c>
      <c r="G27" s="665"/>
    </row>
    <row r="28" spans="1:17" ht="20.25" customHeight="1">
      <c r="A28" s="673">
        <f>A25+1</f>
        <v>13</v>
      </c>
      <c r="B28" s="539" t="s">
        <v>728</v>
      </c>
      <c r="C28" s="547" t="s">
        <v>296</v>
      </c>
      <c r="D28" s="681" t="str">
        <f>D22</f>
        <v>-</v>
      </c>
      <c r="E28" s="31">
        <f>'6c- ADIT BOY'!C78</f>
        <v>-3744269</v>
      </c>
      <c r="F28" s="31">
        <f>'6c- ADIT BOY'!E78</f>
        <v>-3744269</v>
      </c>
      <c r="G28" s="31">
        <f>'6c- ADIT BOY'!F78</f>
        <v>0</v>
      </c>
      <c r="H28" s="31">
        <f>'6c- ADIT BOY'!G78</f>
        <v>0</v>
      </c>
      <c r="I28" s="682"/>
    </row>
    <row r="29" spans="1:17" ht="20.25" customHeight="1">
      <c r="A29" s="673">
        <f>A28+1</f>
        <v>14</v>
      </c>
      <c r="B29" s="539" t="s">
        <v>729</v>
      </c>
      <c r="C29" s="547" t="s">
        <v>296</v>
      </c>
      <c r="D29" s="681" t="str">
        <f t="shared" ref="D29:D30" si="3">D23</f>
        <v>-</v>
      </c>
      <c r="E29" s="31">
        <f>'6d- ADIT EOY'!C78-'6d- ADIT EOY'!C74</f>
        <v>-4598618</v>
      </c>
      <c r="F29" s="31">
        <f>'6d- ADIT EOY'!E78-'6d- ADIT EOY'!E74</f>
        <v>-4598618</v>
      </c>
      <c r="G29" s="31">
        <f>'6d- ADIT EOY'!F78-'6d- ADIT EOY'!F74</f>
        <v>0</v>
      </c>
      <c r="H29" s="31">
        <f>'6d- ADIT EOY'!G78-'6d- ADIT EOY'!G74</f>
        <v>0</v>
      </c>
      <c r="I29" s="682"/>
    </row>
    <row r="30" spans="1:17" ht="20.25" customHeight="1">
      <c r="A30" s="673">
        <f>A29+1</f>
        <v>15</v>
      </c>
      <c r="B30" s="539" t="s">
        <v>730</v>
      </c>
      <c r="C30" s="547" t="s">
        <v>296</v>
      </c>
      <c r="D30" s="681" t="str">
        <f t="shared" si="3"/>
        <v>-</v>
      </c>
      <c r="E30" s="31">
        <f>'6b-ADIT Projection Proration'!F38</f>
        <v>0</v>
      </c>
      <c r="F30" s="31">
        <f>'6b-ADIT Projection Proration'!H38</f>
        <v>0</v>
      </c>
      <c r="G30" s="31">
        <f>'6b-ADIT Projection Proration'!J38</f>
        <v>0</v>
      </c>
      <c r="H30" s="31">
        <f>'6b-ADIT Projection Proration'!L38</f>
        <v>0</v>
      </c>
      <c r="I30" s="682"/>
    </row>
    <row r="31" spans="1:17" ht="20.25" customHeight="1">
      <c r="A31" s="673">
        <f>A30+1</f>
        <v>16</v>
      </c>
      <c r="B31" s="539" t="s">
        <v>731</v>
      </c>
      <c r="E31" s="550">
        <f>E29+E30</f>
        <v>-4598618</v>
      </c>
      <c r="F31" s="550">
        <f t="shared" ref="F31:H31" si="4">F29+F30</f>
        <v>-4598618</v>
      </c>
      <c r="G31" s="550">
        <f t="shared" si="4"/>
        <v>0</v>
      </c>
      <c r="H31" s="550">
        <f t="shared" si="4"/>
        <v>0</v>
      </c>
      <c r="I31" s="683"/>
    </row>
    <row r="32" spans="1:17">
      <c r="A32" s="673"/>
      <c r="G32" s="665"/>
    </row>
    <row r="33" spans="1:9">
      <c r="A33" s="547" t="s">
        <v>702</v>
      </c>
      <c r="G33" s="665"/>
    </row>
    <row r="34" spans="1:9" ht="20.25" customHeight="1">
      <c r="A34" s="673">
        <f>A31+1</f>
        <v>17</v>
      </c>
      <c r="B34" s="539" t="s">
        <v>732</v>
      </c>
      <c r="C34" s="547" t="s">
        <v>296</v>
      </c>
      <c r="D34" s="681" t="str">
        <f>D28</f>
        <v>-</v>
      </c>
      <c r="E34" s="31">
        <f>'6c- ADIT BOY'!C32</f>
        <v>1901936</v>
      </c>
      <c r="F34" s="31">
        <f>'6c- ADIT BOY'!E32</f>
        <v>1901936</v>
      </c>
      <c r="G34" s="31">
        <f>'6c- ADIT BOY'!F32</f>
        <v>0</v>
      </c>
      <c r="H34" s="31">
        <f>'6c- ADIT BOY'!G32</f>
        <v>0</v>
      </c>
      <c r="I34" s="682"/>
    </row>
    <row r="35" spans="1:9" ht="20.25" customHeight="1">
      <c r="A35" s="673">
        <f>A34+1</f>
        <v>18</v>
      </c>
      <c r="B35" s="539" t="s">
        <v>733</v>
      </c>
      <c r="C35" s="547" t="s">
        <v>296</v>
      </c>
      <c r="D35" s="681" t="str">
        <f t="shared" ref="D35:D36" si="5">D29</f>
        <v>-</v>
      </c>
      <c r="E35" s="31">
        <f>'6d- ADIT EOY'!C32-'6d- ADIT EOY'!C28</f>
        <v>0</v>
      </c>
      <c r="F35" s="31">
        <f>'6d- ADIT EOY'!E32-'6d- ADIT EOY'!E28</f>
        <v>0</v>
      </c>
      <c r="G35" s="31">
        <f>'6d- ADIT EOY'!F32-'6d- ADIT EOY'!F28</f>
        <v>0</v>
      </c>
      <c r="H35" s="31">
        <f>'6d- ADIT EOY'!G32-'6d- ADIT EOY'!G28</f>
        <v>0</v>
      </c>
      <c r="I35" s="682"/>
    </row>
    <row r="36" spans="1:9" ht="20.25" customHeight="1">
      <c r="A36" s="673">
        <f>A35+1</f>
        <v>19</v>
      </c>
      <c r="B36" s="539" t="s">
        <v>734</v>
      </c>
      <c r="C36" s="547" t="s">
        <v>296</v>
      </c>
      <c r="D36" s="681" t="str">
        <f t="shared" si="5"/>
        <v>-</v>
      </c>
      <c r="E36" s="31">
        <f>'6b-ADIT Projection Proration'!F54</f>
        <v>0</v>
      </c>
      <c r="F36" s="31">
        <f>'6b-ADIT Projection Proration'!H54</f>
        <v>0</v>
      </c>
      <c r="G36" s="31">
        <f>'6b-ADIT Projection Proration'!J54</f>
        <v>0</v>
      </c>
      <c r="H36" s="31">
        <f>'6b-ADIT Projection Proration'!L54</f>
        <v>0</v>
      </c>
      <c r="I36" s="682"/>
    </row>
    <row r="37" spans="1:9" ht="20.25" customHeight="1">
      <c r="A37" s="673">
        <f>A36+1</f>
        <v>20</v>
      </c>
      <c r="B37" s="539" t="s">
        <v>735</v>
      </c>
      <c r="E37" s="550">
        <f>E35+E36</f>
        <v>0</v>
      </c>
      <c r="F37" s="31">
        <f t="shared" ref="F37:H37" si="6">F35+F36</f>
        <v>0</v>
      </c>
      <c r="G37" s="31">
        <f t="shared" si="6"/>
        <v>0</v>
      </c>
      <c r="H37" s="31">
        <f t="shared" si="6"/>
        <v>0</v>
      </c>
      <c r="I37" s="683"/>
    </row>
    <row r="38" spans="1:9">
      <c r="B38" s="547"/>
      <c r="G38" s="665"/>
    </row>
    <row r="39" spans="1:9">
      <c r="B39" s="547"/>
      <c r="G39" s="665"/>
    </row>
    <row r="40" spans="1:9">
      <c r="D40" s="444"/>
    </row>
    <row r="41" spans="1:9">
      <c r="D41" s="444"/>
    </row>
    <row r="42" spans="1:9">
      <c r="D42" s="444"/>
    </row>
    <row r="43" spans="1:9">
      <c r="D43" s="444"/>
    </row>
    <row r="44" spans="1:9">
      <c r="D44" s="444"/>
    </row>
    <row r="45" spans="1:9">
      <c r="D45" s="444"/>
    </row>
    <row r="46" spans="1:9">
      <c r="D46" s="444"/>
    </row>
    <row r="47" spans="1:9">
      <c r="D47" s="444"/>
    </row>
    <row r="48" spans="1:9">
      <c r="D48" s="444"/>
    </row>
    <row r="49" spans="2:10">
      <c r="D49" s="444"/>
    </row>
    <row r="50" spans="2:10">
      <c r="B50" s="547"/>
      <c r="D50" s="444"/>
    </row>
    <row r="51" spans="2:10">
      <c r="D51" s="444"/>
    </row>
    <row r="52" spans="2:10">
      <c r="B52" s="547"/>
      <c r="D52" s="444"/>
    </row>
    <row r="64" spans="2:10">
      <c r="J64" s="547"/>
    </row>
    <row r="156" spans="8:8">
      <c r="H156" s="684"/>
    </row>
  </sheetData>
  <mergeCells count="3">
    <mergeCell ref="A1:I1"/>
    <mergeCell ref="A2:I2"/>
    <mergeCell ref="A3:I3"/>
  </mergeCells>
  <printOptions horizontalCentered="1"/>
  <pageMargins left="0.25" right="0.25" top="0.75" bottom="0.75" header="0.3" footer="0.3"/>
  <pageSetup scale="68"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7C19CE2BDD184CA41B21DF5A37CE81" ma:contentTypeVersion="12" ma:contentTypeDescription="Create a new document." ma:contentTypeScope="" ma:versionID="ddbf9d80721316e3914d2c4e6f23c5f0">
  <xsd:schema xmlns:xsd="http://www.w3.org/2001/XMLSchema" xmlns:xs="http://www.w3.org/2001/XMLSchema" xmlns:p="http://schemas.microsoft.com/office/2006/metadata/properties" xmlns:ns1="http://schemas.microsoft.com/sharepoint/v3" xmlns:ns2="22df5544-bb9f-4387-b18d-81e3453fb332" xmlns:ns3="a74e6210-048b-44cf-9e69-35ad2cc27529" targetNamespace="http://schemas.microsoft.com/office/2006/metadata/properties" ma:root="true" ma:fieldsID="cb6128bf8b7f2ed5017110fb5f5f4b93" ns1:_="" ns2:_="" ns3:_="">
    <xsd:import namespace="http://schemas.microsoft.com/sharepoint/v3"/>
    <xsd:import namespace="22df5544-bb9f-4387-b18d-81e3453fb332"/>
    <xsd:import namespace="a74e6210-048b-44cf-9e69-35ad2cc27529"/>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2df5544-bb9f-4387-b18d-81e3453fb33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4e6210-048b-44cf-9e69-35ad2cc27529"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4FCF299-63C9-4FF8-B13C-B61611A6FC3E}"/>
</file>

<file path=customXml/itemProps2.xml><?xml version="1.0" encoding="utf-8"?>
<ds:datastoreItem xmlns:ds="http://schemas.openxmlformats.org/officeDocument/2006/customXml" ds:itemID="{02424815-02A6-4745-9ED5-A3DC59F0D8A1}"/>
</file>

<file path=customXml/itemProps3.xml><?xml version="1.0" encoding="utf-8"?>
<ds:datastoreItem xmlns:ds="http://schemas.openxmlformats.org/officeDocument/2006/customXml" ds:itemID="{EBCB0994-DDB6-4D3B-96D9-2AE25D7C28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17</vt:i4>
      </vt:variant>
    </vt:vector>
  </HeadingPairs>
  <TitlesOfParts>
    <vt:vector size="37" baseType="lpstr">
      <vt:lpstr>Appendix III</vt:lpstr>
      <vt:lpstr>1 - Revenue Credits</vt:lpstr>
      <vt:lpstr>2 - Cost Support </vt:lpstr>
      <vt:lpstr>2a - Cost Support</vt:lpstr>
      <vt:lpstr>2b - Cost Support</vt:lpstr>
      <vt:lpstr>3 - Incentives</vt:lpstr>
      <vt:lpstr>4 - Cap Adds</vt:lpstr>
      <vt:lpstr>5 - True-Up</vt:lpstr>
      <vt:lpstr>6a-ADIT Projection</vt:lpstr>
      <vt:lpstr>6b-ADIT Projection Proration</vt:lpstr>
      <vt:lpstr>6c- ADIT BOY</vt:lpstr>
      <vt:lpstr>6d- ADIT EOY</vt:lpstr>
      <vt:lpstr>6e-ADIT True-up</vt:lpstr>
      <vt:lpstr>6f-ADIT True-up Proration</vt:lpstr>
      <vt:lpstr>7 - Unfunded Reserves</vt:lpstr>
      <vt:lpstr>8 - CWIP</vt:lpstr>
      <vt:lpstr>9- Depreciation Rates</vt:lpstr>
      <vt:lpstr>10 - Future Use</vt:lpstr>
      <vt:lpstr>11 - Reg. Assets and Abnd Plnt</vt:lpstr>
      <vt:lpstr>12 - Income Tax Adjustment</vt:lpstr>
      <vt:lpstr>'1 - Revenue Credits'!Print_Area</vt:lpstr>
      <vt:lpstr>'2 - Cost Support '!Print_Area</vt:lpstr>
      <vt:lpstr>'2b - Cost Support'!Print_Area</vt:lpstr>
      <vt:lpstr>'4 - Cap Adds'!Print_Area</vt:lpstr>
      <vt:lpstr>'6a-ADIT Projection'!Print_Area</vt:lpstr>
      <vt:lpstr>'6b-ADIT Projection Proration'!Print_Area</vt:lpstr>
      <vt:lpstr>'6c- ADIT BOY'!Print_Area</vt:lpstr>
      <vt:lpstr>'6d- ADIT EOY'!Print_Area</vt:lpstr>
      <vt:lpstr>'6e-ADIT True-up'!Print_Area</vt:lpstr>
      <vt:lpstr>'6f-ADIT True-up Proration'!Print_Area</vt:lpstr>
      <vt:lpstr>'7 - Unfunded Reserves'!Print_Area</vt:lpstr>
      <vt:lpstr>'8 - CWIP'!Print_Area</vt:lpstr>
      <vt:lpstr>'Appendix III'!Print_Area</vt:lpstr>
      <vt:lpstr>'6a-ADIT Projection'!Print_Titles</vt:lpstr>
      <vt:lpstr>'6b-ADIT Projection Proration'!Print_Titles</vt:lpstr>
      <vt:lpstr>'6e-ADIT True-up'!Print_Titles</vt:lpstr>
      <vt:lpstr>'6f-ADIT True-up Proration'!Print_Titles</vt:lpstr>
    </vt:vector>
  </TitlesOfParts>
  <Company>NexteraEnergy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Weinstein, Carly</dc:creator>
  <cp:lastModifiedBy>Weinstein, Carly</cp:lastModifiedBy>
  <dcterms:created xsi:type="dcterms:W3CDTF">2021-06-30T15:20:04Z</dcterms:created>
  <dcterms:modified xsi:type="dcterms:W3CDTF">2021-06-30T15:21:24Z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0x010100017C19CE2BDD184CA41B21DF5A37CE81</vt:lpwstr>
  </property>
</Properties>
</file>